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ndex" sheetId="1" r:id="rId1"/>
    <sheet name="Input" sheetId="2" r:id="rId2"/>
    <sheet name="LAFs" sheetId="3" r:id="rId3"/>
    <sheet name="DRM" sheetId="4" r:id="rId4"/>
    <sheet name="SM" sheetId="5" r:id="rId5"/>
    <sheet name="Loads" sheetId="6" r:id="rId6"/>
    <sheet name="Multi" sheetId="7" r:id="rId7"/>
    <sheet name="SMD" sheetId="8" r:id="rId8"/>
    <sheet name="AMD" sheetId="9" r:id="rId9"/>
    <sheet name="Otex" sheetId="10" r:id="rId10"/>
    <sheet name="Contrib" sheetId="11" r:id="rId11"/>
    <sheet name="Yard" sheetId="12" r:id="rId12"/>
    <sheet name="Standing" sheetId="13" r:id="rId13"/>
    <sheet name="NHH" sheetId="14" r:id="rId14"/>
    <sheet name="Reactive" sheetId="15" r:id="rId15"/>
    <sheet name="Aggreg" sheetId="16" r:id="rId16"/>
    <sheet name="Revenue" sheetId="17" r:id="rId17"/>
    <sheet name="Adder" sheetId="18" r:id="rId18"/>
    <sheet name="Adjust" sheetId="19" r:id="rId19"/>
    <sheet name="Tariffs" sheetId="20" r:id="rId20"/>
    <sheet name="Summary" sheetId="21" r:id="rId21"/>
    <sheet name="M-ATW" sheetId="22" r:id="rId22"/>
    <sheet name="M-Rev" sheetId="23" r:id="rId23"/>
    <sheet name="CData" sheetId="24" r:id="rId24"/>
    <sheet name="CTables" sheetId="25" r:id="rId25"/>
  </sheets>
  <definedNames>
    <definedName name="_xlnm._FilterDatabase" localSheetId="0" hidden="1">'Index'!$A$29:$C$245</definedName>
    <definedName name="_xlnm.Print_Area" localSheetId="6">'Multi'!$A:$V</definedName>
  </definedNames>
  <calcPr calcId="124519"/>
</workbook>
</file>

<file path=xl/sharedStrings.xml><?xml version="1.0" encoding="utf-8"?>
<sst xmlns="http://schemas.openxmlformats.org/spreadsheetml/2006/main" count="8794" uniqueCount="1839">
  <si>
    <t>1000. Company, charging year, data version</t>
  </si>
  <si>
    <t>Company</t>
  </si>
  <si>
    <t>Year</t>
  </si>
  <si>
    <t>Version</t>
  </si>
  <si>
    <t>Company, charging year, data version</t>
  </si>
  <si>
    <t>#VALUE!</t>
  </si>
  <si>
    <t>1001. CDCM target revenue</t>
  </si>
  <si>
    <t>Further description</t>
  </si>
  <si>
    <t>Term</t>
  </si>
  <si>
    <t>CRC</t>
  </si>
  <si>
    <t>Value</t>
  </si>
  <si>
    <t>Revenue elements and subtotals (£/year)</t>
  </si>
  <si>
    <t>Base Demand Revenue Before Inflation</t>
  </si>
  <si>
    <t>RPI Indexation Factor</t>
  </si>
  <si>
    <t>Merger Adjustment</t>
  </si>
  <si>
    <t>Base Demand Revenue</t>
  </si>
  <si>
    <t>Pass-Through Business Rates</t>
  </si>
  <si>
    <t>Pass-Through Licence Fees</t>
  </si>
  <si>
    <t>Pass-Through Transmission Exit</t>
  </si>
  <si>
    <t>Pass-Through Price Control Reopener</t>
  </si>
  <si>
    <t>Pass-Through Others</t>
  </si>
  <si>
    <t>Allowed Pass-Through Items</t>
  </si>
  <si>
    <t>Losses Incentive #1</t>
  </si>
  <si>
    <t>Losses Incentive #2</t>
  </si>
  <si>
    <t>Losses Incentive #3</t>
  </si>
  <si>
    <t>Losses Incentive #4</t>
  </si>
  <si>
    <t>Quality of Service Incentive Adjustment</t>
  </si>
  <si>
    <t>Transmission Connection Point Charges Incentive Adjustment</t>
  </si>
  <si>
    <t>Innovation Funding Incentive Adjustment</t>
  </si>
  <si>
    <t>Incentive Revenue for Distributed Generation</t>
  </si>
  <si>
    <t>Connection Guaranteed Standards Systems &amp; Processes penalty</t>
  </si>
  <si>
    <t>Low Carbon Network Fund #1</t>
  </si>
  <si>
    <t>Low Carbon Network Fund #2</t>
  </si>
  <si>
    <t>Low Carbon Network Fund #3</t>
  </si>
  <si>
    <t>Incentive Revenue and Other Adjustments</t>
  </si>
  <si>
    <t>Correction Factor</t>
  </si>
  <si>
    <t>Tax Trigger Mechanism Adjustment</t>
  </si>
  <si>
    <t>Total Allowed Revenue</t>
  </si>
  <si>
    <t>Other 1. Excluded services - Top-up, standby, and enhanced system security</t>
  </si>
  <si>
    <t>Other 2. Excluded services - Revenue protection services</t>
  </si>
  <si>
    <t>Other 3. Excluded services - Miscellaneous</t>
  </si>
  <si>
    <t>Other 4. - please provide description if used</t>
  </si>
  <si>
    <t>Other 5. - please provide description if used</t>
  </si>
  <si>
    <t>Total Other Revenue to be Recovered by Use of System Charges</t>
  </si>
  <si>
    <t>Total Revenue for Use of System Charges</t>
  </si>
  <si>
    <t>1. Revenue raised outside CDCM - EDCM and Certain Interconnector Revenue</t>
  </si>
  <si>
    <t>2. Voluntary under-recovery</t>
  </si>
  <si>
    <t>3. Revenue raised outside CDCM - please provide description if used</t>
  </si>
  <si>
    <t>4. Revenue raised outside CDCM - please provide description if used</t>
  </si>
  <si>
    <t>Total Revenue to be raised outside the CDCM</t>
  </si>
  <si>
    <t>Latest Forecast of CDCM Revenue</t>
  </si>
  <si>
    <t>A1</t>
  </si>
  <si>
    <t>A2</t>
  </si>
  <si>
    <t>A3</t>
  </si>
  <si>
    <t>A = A1*A2 – A3</t>
  </si>
  <si>
    <t>B1</t>
  </si>
  <si>
    <t>B2</t>
  </si>
  <si>
    <t>B3</t>
  </si>
  <si>
    <t>B4</t>
  </si>
  <si>
    <t>B5</t>
  </si>
  <si>
    <t>B=B1+B2+B3+B4+B5</t>
  </si>
  <si>
    <t>C1</t>
  </si>
  <si>
    <t>C2</t>
  </si>
  <si>
    <t>C3</t>
  </si>
  <si>
    <t>C4</t>
  </si>
  <si>
    <t>C5</t>
  </si>
  <si>
    <t>C6</t>
  </si>
  <si>
    <t>C7</t>
  </si>
  <si>
    <t>C=C1+C2+C3+C4+C5+C6+C7</t>
  </si>
  <si>
    <t>D</t>
  </si>
  <si>
    <t>E</t>
  </si>
  <si>
    <t>F=A+B+C+D+E</t>
  </si>
  <si>
    <t>G1 (see note 1)</t>
  </si>
  <si>
    <t>G2 (see note 1)</t>
  </si>
  <si>
    <t>G3 (see note 1)</t>
  </si>
  <si>
    <t>G4</t>
  </si>
  <si>
    <t>G5</t>
  </si>
  <si>
    <t>G=G1+G2+G3+G4+G5</t>
  </si>
  <si>
    <t>H = F + G</t>
  </si>
  <si>
    <t>I1</t>
  </si>
  <si>
    <t>I2</t>
  </si>
  <si>
    <t>I3</t>
  </si>
  <si>
    <t>I4</t>
  </si>
  <si>
    <t>I=I1+I2+I3+I4</t>
  </si>
  <si>
    <t>J = H – I</t>
  </si>
  <si>
    <t>PUt</t>
  </si>
  <si>
    <t>PIADt</t>
  </si>
  <si>
    <t>MGt</t>
  </si>
  <si>
    <t>BRt</t>
  </si>
  <si>
    <t>RBt</t>
  </si>
  <si>
    <t>LFt</t>
  </si>
  <si>
    <t>TBt</t>
  </si>
  <si>
    <t>UNCt</t>
  </si>
  <si>
    <t>MPTt, HBt, IEDt</t>
  </si>
  <si>
    <t>PTt</t>
  </si>
  <si>
    <t>UILt</t>
  </si>
  <si>
    <t>PCOLt</t>
  </si>
  <si>
    <t>-COLt</t>
  </si>
  <si>
    <t>PPLt</t>
  </si>
  <si>
    <t>IQt</t>
  </si>
  <si>
    <t>ITt</t>
  </si>
  <si>
    <t>IFIt</t>
  </si>
  <si>
    <t>IGt</t>
  </si>
  <si>
    <t>CGSRAt, CGSSPt &amp; AUMt</t>
  </si>
  <si>
    <t>LCN1t</t>
  </si>
  <si>
    <t>LCN2t</t>
  </si>
  <si>
    <t>LCN3t</t>
  </si>
  <si>
    <t>-Kt</t>
  </si>
  <si>
    <t>CTRAt</t>
  </si>
  <si>
    <t>ARt</t>
  </si>
  <si>
    <t>ES4</t>
  </si>
  <si>
    <t>ES5</t>
  </si>
  <si>
    <t>ES7</t>
  </si>
  <si>
    <t>CRC3</t>
  </si>
  <si>
    <t>CRC4</t>
  </si>
  <si>
    <t>CRC7</t>
  </si>
  <si>
    <t>CRC8</t>
  </si>
  <si>
    <t>CRC9</t>
  </si>
  <si>
    <t>CRC10</t>
  </si>
  <si>
    <t>CRC11</t>
  </si>
  <si>
    <t>CRC12</t>
  </si>
  <si>
    <t>CRC13</t>
  </si>
  <si>
    <t>CRC15</t>
  </si>
  <si>
    <t>Note 1: Revenues associated with excluded services should only be included insofar as they are charged as Use of System Charges.</t>
  </si>
  <si>
    <t>1010. Financial and general assumptions</t>
  </si>
  <si>
    <t>Sources: financial assumptions; calendar; network model.</t>
  </si>
  <si>
    <t>These financial assumptions determine the annuity rate applied to convert the asset values of the network model into an annual charge.</t>
  </si>
  <si>
    <t>Rate of return</t>
  </si>
  <si>
    <t>Annualisation period (years)</t>
  </si>
  <si>
    <t>Annuity proportion for customer-contributed assets</t>
  </si>
  <si>
    <t>Power factor</t>
  </si>
  <si>
    <t>Days in the charging year</t>
  </si>
  <si>
    <t>Financial and general assumptions</t>
  </si>
  <si>
    <t>1017. Diversity allowance between top and bottom of network level</t>
  </si>
  <si>
    <t>Source: operational data analysis and/or network model.</t>
  </si>
  <si>
    <t>The diversity figure against GSP is the diversity between GSP Group (the whole system) and individual GSPs.</t>
  </si>
  <si>
    <t xml:space="preserve">The diversity figure against 132kV is the diversity between GSPs (the top of the 132kV network) and 132kV/EHV bulk supply points (the bottom of the 132kV network). </t>
  </si>
  <si>
    <t xml:space="preserve">The diversity figure against EHV is the diversity between 132kV/EHV bulk supply points (the top of the EHV network) and EHV/HV primary substations (the bottom of the EHV network). </t>
  </si>
  <si>
    <t xml:space="preserve">The diversity figure against HV is the diversity between EHV/HV primary substations (the top of the HV network) and HV/LV substations (the bottom of the HV network). </t>
  </si>
  <si>
    <t>Diversity allowance between top and bottom of network level</t>
  </si>
  <si>
    <t>GSPs</t>
  </si>
  <si>
    <t>132kV</t>
  </si>
  <si>
    <t>132kV/EHV</t>
  </si>
  <si>
    <t>EHV</t>
  </si>
  <si>
    <t>EHV/HV</t>
  </si>
  <si>
    <t>HV</t>
  </si>
  <si>
    <t>HV/LV</t>
  </si>
  <si>
    <t>LV circuits</t>
  </si>
  <si>
    <t>1018. Proportion of relevant load going through 132kV/HV direct transformation</t>
  </si>
  <si>
    <t>132kV/HV</t>
  </si>
  <si>
    <t>1019. Network model GSP peak demand (MW)</t>
  </si>
  <si>
    <t>Network model GSP peak demand (MW)</t>
  </si>
  <si>
    <t>1020. Gross asset cost by network level (£)</t>
  </si>
  <si>
    <t>Gross assets £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</si>
  <si>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</si>
  <si>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</si>
  <si>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</si>
  <si>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</si>
  <si>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</si>
  <si>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</si>
  <si>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</si>
  <si>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</si>
  <si>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</si>
  <si>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LV service model asset cost (£)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</si>
  <si>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</si>
  <si>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</si>
  <si>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</si>
  <si>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</si>
  <si>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</si>
  <si>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</si>
  <si>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HV service model asset cost (£)</t>
  </si>
  <si>
    <t>1025. Matrix of applicability of LV service models to tariffs with fixed charges</t>
  </si>
  <si>
    <t>Domestic Unrestricted</t>
  </si>
  <si>
    <t>Domestic Two Rate</t>
  </si>
  <si>
    <t>Small Non Domestic Unrestricted</t>
  </si>
  <si>
    <t>Small Non Domestic Two Rate</t>
  </si>
  <si>
    <t>LV Medium Non-Domestic</t>
  </si>
  <si>
    <t>LV Sub Medium Non-Domestic</t>
  </si>
  <si>
    <t>LV HH Metered</t>
  </si>
  <si>
    <t>LV Sub HH Metered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</si>
  <si>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</si>
  <si>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</si>
  <si>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</si>
  <si>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</si>
  <si>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</si>
  <si>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</si>
  <si>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1026. Matrix of applicability of LV service models to unmetered tariffs</t>
  </si>
  <si>
    <t>Source: service models</t>
  </si>
  <si>
    <t>Proportion of service model involved in connecting load of 1 MWh/year</t>
  </si>
  <si>
    <t>All LV unmetered tariffs</t>
  </si>
  <si>
    <t>1028. Matrix of applicability of HV service models to tariffs with fixed charges</t>
  </si>
  <si>
    <t>HV Medium Non-Domestic</t>
  </si>
  <si>
    <t>HV HH Metered</t>
  </si>
  <si>
    <t>HV Generation Intermittent</t>
  </si>
  <si>
    <t>HV Generation Non-Intermittent</t>
  </si>
  <si>
    <t>1032. Loss adjustment factors to transmission</t>
  </si>
  <si>
    <t>Source: losses model or loss adjustment factors at time of system peak.</t>
  </si>
  <si>
    <t>Loss adjustment factor</t>
  </si>
  <si>
    <t>1037. Embedded network (LDNO) discounts</t>
  </si>
  <si>
    <t>Source: separate price control disaggregation model.</t>
  </si>
  <si>
    <t>No discount</t>
  </si>
  <si>
    <t>LDNO LV: LV user</t>
  </si>
  <si>
    <t>LDNO HV: LV user</t>
  </si>
  <si>
    <t>LDNO HV: LV sub user</t>
  </si>
  <si>
    <t>LDNO HV: HV user</t>
  </si>
  <si>
    <t>LDNO discount</t>
  </si>
  <si>
    <t>1041. Load profile data for demand users</t>
  </si>
  <si>
    <t>Source: load data analysis.</t>
  </si>
  <si>
    <t>Coincidence factor</t>
  </si>
  <si>
    <t>Load factor</t>
  </si>
  <si>
    <t>Domestic Off Peak (related MPAN)</t>
  </si>
  <si>
    <t>Small Non Domestic Off Peak (related MPAN)</t>
  </si>
  <si>
    <t>NHH UMS category A</t>
  </si>
  <si>
    <t>NHH UMS category B</t>
  </si>
  <si>
    <t>NHH UMS category C</t>
  </si>
  <si>
    <t>NHH UMS category D</t>
  </si>
  <si>
    <t>LV UMS (Pseudo HH Metered)</t>
  </si>
  <si>
    <t>1053. Volume forecasts for the charging year</t>
  </si>
  <si>
    <t>Source: forecast.</t>
  </si>
  <si>
    <t>Please include MPAN counts for tariffs with no fixed charge (e.g. off-peak tariffs),</t>
  </si>
  <si>
    <t>but exclude MPANs on tariffs with a fixed charge that are not subject to a fixed charge due to a site grouping arrangement.</t>
  </si>
  <si>
    <t>Rate 1 units (MWh)</t>
  </si>
  <si>
    <t>Rate 2 units (MWh)</t>
  </si>
  <si>
    <t>Rate 3 units (MWh)</t>
  </si>
  <si>
    <t>MPANs</t>
  </si>
  <si>
    <t>Import capacity (kVA)</t>
  </si>
  <si>
    <t>Reactive power units (MVArh)</t>
  </si>
  <si>
    <t>&gt; Domestic Unrestricted</t>
  </si>
  <si>
    <t>LDNO LV: Domestic Unrestricted</t>
  </si>
  <si>
    <t>LDNO HV: Domestic Unrestricted</t>
  </si>
  <si>
    <t>&gt; Domestic Two Rate</t>
  </si>
  <si>
    <t>LDNO LV: Domestic Two Rate</t>
  </si>
  <si>
    <t>LDNO HV: Domestic Two Rate</t>
  </si>
  <si>
    <t>&gt; Domestic Off Peak (related MPAN)</t>
  </si>
  <si>
    <t>LDNO LV: Domestic Off Peak (related MPAN)</t>
  </si>
  <si>
    <t>LDNO HV: Domestic Off Peak (related MPAN)</t>
  </si>
  <si>
    <t>&gt; Small Non Domestic Unrestricted</t>
  </si>
  <si>
    <t>LDNO LV: Small Non Domestic Unrestricted</t>
  </si>
  <si>
    <t>LDNO HV: Small Non Domestic Unrestricted</t>
  </si>
  <si>
    <t>&gt; Small Non Domestic Two Rate</t>
  </si>
  <si>
    <t>LDNO LV: Small Non Domestic Two Rate</t>
  </si>
  <si>
    <t>LDNO HV: Small Non Domestic Two Rate</t>
  </si>
  <si>
    <t>&gt; Small Non Domestic Off Peak (related MPAN)</t>
  </si>
  <si>
    <t>LDNO LV: Small Non Domestic Off Peak (related MPAN)</t>
  </si>
  <si>
    <t>LDNO HV: Small Non Domestic Off Peak (related MPAN)</t>
  </si>
  <si>
    <t>&gt; LV Medium Non-Domestic</t>
  </si>
  <si>
    <t>LDNO LV: LV Medium Non-Domestic</t>
  </si>
  <si>
    <t>LDNO HV: LV Medium Non-Domestic</t>
  </si>
  <si>
    <t>&gt; LV Sub Medium Non-Domestic</t>
  </si>
  <si>
    <t>&gt; HV Medium Non-Domestic</t>
  </si>
  <si>
    <t>&gt; LV HH Metered</t>
  </si>
  <si>
    <t>LDNO LV: LV HH Metered</t>
  </si>
  <si>
    <t>LDNO HV: LV HH Metered</t>
  </si>
  <si>
    <t>&gt; LV Sub HH Metered</t>
  </si>
  <si>
    <t>LDNO HV: LV Sub HH Metered</t>
  </si>
  <si>
    <t>&gt; HV HH Metered</t>
  </si>
  <si>
    <t>LDNO HV: HV HH Metered</t>
  </si>
  <si>
    <t>&gt; NHH UMS category A</t>
  </si>
  <si>
    <t>LDNO LV: NHH UMS category A</t>
  </si>
  <si>
    <t>LDNO HV: NHH UMS category A</t>
  </si>
  <si>
    <t>&gt; NHH UMS category B</t>
  </si>
  <si>
    <t>LDNO LV: NHH UMS category B</t>
  </si>
  <si>
    <t>LDNO HV: NHH UMS category B</t>
  </si>
  <si>
    <t>&gt; NHH UMS category C</t>
  </si>
  <si>
    <t>LDNO LV: NHH UMS category C</t>
  </si>
  <si>
    <t>LDNO HV: NHH UMS category C</t>
  </si>
  <si>
    <t>&gt; NHH UMS category D</t>
  </si>
  <si>
    <t>LDNO LV: NHH UMS category D</t>
  </si>
  <si>
    <t>LDNO HV: NHH UMS category D</t>
  </si>
  <si>
    <t>&gt; LV UMS (Pseudo HH Metered)</t>
  </si>
  <si>
    <t>LDNO LV: LV UMS (Pseudo HH Metered)</t>
  </si>
  <si>
    <t>LDNO HV: LV UMS (Pseudo HH Metered)</t>
  </si>
  <si>
    <t>&gt; LV Generation NHH</t>
  </si>
  <si>
    <t>LDNO LV: LV Generation NHH</t>
  </si>
  <si>
    <t>LDNO HV: LV Generation NHH</t>
  </si>
  <si>
    <t>&gt; LV Sub Generation NHH</t>
  </si>
  <si>
    <t>LDNO HV: LV Sub Generation NHH</t>
  </si>
  <si>
    <t>&gt; LV Generation Intermittent</t>
  </si>
  <si>
    <t>LDNO LV: LV Generation Intermittent</t>
  </si>
  <si>
    <t>LDNO HV: LV Generation Intermittent</t>
  </si>
  <si>
    <t>&gt; LV Generation Non-Intermittent</t>
  </si>
  <si>
    <t>LDNO LV: LV Generation Non-Intermittent</t>
  </si>
  <si>
    <t>LDNO HV: LV Generation Non-Intermittent</t>
  </si>
  <si>
    <t>&gt; LV Sub Generation Intermittent</t>
  </si>
  <si>
    <t>LDNO HV: LV Sub Generation Intermittent</t>
  </si>
  <si>
    <t>&gt; LV Sub Generation Non-Intermittent</t>
  </si>
  <si>
    <t>LDNO HV: LV Sub Generation Non-Intermittent</t>
  </si>
  <si>
    <t>&gt; HV Generation Intermittent</t>
  </si>
  <si>
    <t>LDNO HV: HV Generation Intermittent</t>
  </si>
  <si>
    <t>&gt; HV Generation Non-Intermittent</t>
  </si>
  <si>
    <t>LDNO HV: HV Generation Non-Intermittent</t>
  </si>
  <si>
    <t>1055. Transmission exit charges (£/year)</t>
  </si>
  <si>
    <t>Transmission
exit</t>
  </si>
  <si>
    <t>Transmission exit charges (£/year)</t>
  </si>
  <si>
    <t>1059. Other expenditure</t>
  </si>
  <si>
    <t>Direct cost (£/year)</t>
  </si>
  <si>
    <t>Indirect cost (£/year)</t>
  </si>
  <si>
    <t>Indirect cost proportion</t>
  </si>
  <si>
    <t>Network rates (£/year)</t>
  </si>
  <si>
    <t>Other expenditure</t>
  </si>
  <si>
    <t>1060. Customer contributions under current connection charging policy</t>
  </si>
  <si>
    <t>Source: analysis of expenditure data and/or survey of capital expenditure schemes.</t>
  </si>
  <si>
    <t>Customer contribution percentages by network level of supply and by asset network level.</t>
  </si>
  <si>
    <t>These proportions should reflect the current connection charging method, not necessarily the method that was in place when the connection was built.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</si>
  <si>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</si>
  <si>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</si>
  <si>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</si>
  <si>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</si>
  <si>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</si>
  <si>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</si>
  <si>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</si>
  <si>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</si>
  <si>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LV network</t>
  </si>
  <si>
    <t>LV substation</t>
  </si>
  <si>
    <t>HV network</t>
  </si>
  <si>
    <t>HV substation</t>
  </si>
  <si>
    <t>1061. Average split of rate 1 units by distribution time band</t>
  </si>
  <si>
    <t>Red</t>
  </si>
  <si>
    <t>Amber</t>
  </si>
  <si>
    <t>Green</t>
  </si>
  <si>
    <t>1062. Average split of rate 2 units by distribution time band</t>
  </si>
  <si>
    <t>1064. Average split of rate 1 units by special distribution time band</t>
  </si>
  <si>
    <t>Black</t>
  </si>
  <si>
    <t>Yellow</t>
  </si>
  <si>
    <t>1066. Typical annual hours by special distribution time band</t>
  </si>
  <si>
    <t>Source: definition of distribution time bands.</t>
  </si>
  <si>
    <t>The figures in this table will be automatically adjusted to match the number of days in the charging period.</t>
  </si>
  <si>
    <t>Annual hours</t>
  </si>
  <si>
    <t>1068. Typical annual hours by distribution time band</t>
  </si>
  <si>
    <t>1069. Peaking probabilities by network level</t>
  </si>
  <si>
    <t>Source: analysis of network operation data.</t>
  </si>
  <si>
    <t>Red, amber and green peaking probabilities</t>
  </si>
  <si>
    <t>Black peaking probabilities</t>
  </si>
  <si>
    <t>1092. Average kVAr by kVA, by network level</t>
  </si>
  <si>
    <t>Source: analysis of operational data.</t>
  </si>
  <si>
    <t>This is the average of MVAr/MVA or SQRT(1-PF^2) across relevant network elements.</t>
  </si>
  <si>
    <t>Average kVAr by kVA, by network level</t>
  </si>
  <si>
    <t>1201. Current tariff information</t>
  </si>
  <si>
    <t>Current revenues if known (£)</t>
  </si>
  <si>
    <t>Current Unit rate 1 p/kWh</t>
  </si>
  <si>
    <t>Current Unit rate 2 p/kWh</t>
  </si>
  <si>
    <t>Current Unit rate 3 p/kWh</t>
  </si>
  <si>
    <t>Current Fixed charge p/MPAN/day</t>
  </si>
  <si>
    <t>Current Capacity charge p/kVA/day</t>
  </si>
  <si>
    <t>Current Reactive power charge p/kVArh</t>
  </si>
  <si>
    <t>This sheet contains all the input data (except LLFCs which can be entered directly into the Tariff sheet).</t>
  </si>
  <si>
    <t>This sheet calculates matrices of loss adjustment factors and of network use factors.</t>
  </si>
  <si>
    <t>These matrices map out the extent to which each type of user uses each level of the network, and are used throughout the workbook.</t>
  </si>
  <si>
    <t>2001. Loss adjustment factors to transmission</t>
  </si>
  <si>
    <t>Data sources:</t>
  </si>
  <si>
    <t>x1 = Network level for each tariff (to get loss factors applicable to capacity) (in Loss adjustment factors to transmission)</t>
  </si>
  <si>
    <t>x2 = 1032. Loss adjustment factors to transmission</t>
  </si>
  <si>
    <t>Kind:</t>
  </si>
  <si>
    <t>Fixed data</t>
  </si>
  <si>
    <t>Sum-product calculation</t>
  </si>
  <si>
    <t>Formula:</t>
  </si>
  <si>
    <t/>
  </si>
  <si>
    <t>=SUMPRODUCT(x1, x2)</t>
  </si>
  <si>
    <t>Network level for each tariff (to get loss factors applicable to capacity)</t>
  </si>
  <si>
    <t>2002. Mapping of DRM network levels to core network levels</t>
  </si>
  <si>
    <t>2003. Loss adjustment factor to transmission for each DRM network level</t>
  </si>
  <si>
    <t>x1 = 2002. Mapping of DRM network levels to core network levels</t>
  </si>
  <si>
    <t>Sum-product calculation =SUMPRODUCT(x1, x2)</t>
  </si>
  <si>
    <t>Loss adjustment factor to transmission for each DRM network level</t>
  </si>
  <si>
    <t>2004. Loss adjustment factor to transmission for each network level</t>
  </si>
  <si>
    <t>x1 = 2003. Loss adjustment factor to transmission for each DRM network level</t>
  </si>
  <si>
    <t>x2 = 1 for GSP level</t>
  </si>
  <si>
    <t>Combine tables = x1 or x2</t>
  </si>
  <si>
    <t>Loss adjustment factor to transmission for each network level</t>
  </si>
  <si>
    <t>2005. Network use factors</t>
  </si>
  <si>
    <t>These network use factors indicate to what extent each network level is used by each tariff.</t>
  </si>
  <si>
    <t>This table reflects the policy that generators receive credits only in respect of network levels above the voltage of connection. Generators do not receive credits at the voltage of connection.</t>
  </si>
  <si>
    <t>The factors in this table are before any adjustment for a 132kV/HV network level or for generation-dominated areas.</t>
  </si>
  <si>
    <t>2006. Proportion going through 132kV/EHV</t>
  </si>
  <si>
    <t>x1 = 1018. Proportion of relevant load going through 132kV/HV direct transformation</t>
  </si>
  <si>
    <t>Calculation =1-x1</t>
  </si>
  <si>
    <t>2007. Proportion going through EHV</t>
  </si>
  <si>
    <t>2008. Proportion going through EHV/HV</t>
  </si>
  <si>
    <t>2009. Rerouteing matrix for all network levels</t>
  </si>
  <si>
    <t>x2 = 2006. Proportion going through 132kV/EHV</t>
  </si>
  <si>
    <t>x3 = 2007. Proportion going through EHV</t>
  </si>
  <si>
    <t>x4 = 2008. Proportion going through EHV/HV</t>
  </si>
  <si>
    <t>x5 = Rerouteing matrix: default elements</t>
  </si>
  <si>
    <t>x6 = Map GSP to GSP</t>
  </si>
  <si>
    <t>Combine tables = x1 or x2 or x3 or x4 or x5 or x6</t>
  </si>
  <si>
    <t>2010. Network use factors: interim step in calculations before adjustments</t>
  </si>
  <si>
    <t>x1 = 2005. Network use factors</t>
  </si>
  <si>
    <t>x2 = 2009. Rerouteing matrix for all network levels</t>
  </si>
  <si>
    <t>2011. Network use factors for all tariffs</t>
  </si>
  <si>
    <t>x1 = Network use factors including 132kV/HV for generation dominated tariffs</t>
  </si>
  <si>
    <t>x2 = Network use factors including 132kV/HV for HV Sub tariffs</t>
  </si>
  <si>
    <t>x3 = 2010. Network use factors: interim step in calculations before adjustments</t>
  </si>
  <si>
    <t>Combine tables = x1 or x2 or x3</t>
  </si>
  <si>
    <t>2012. Loss adjustment factors between end user meter reading and each network level, scaled by network use</t>
  </si>
  <si>
    <t>x1 = 2004. Loss adjustment factor to transmission for each network level</t>
  </si>
  <si>
    <t>x2 = 2011. Network use factors for all tariffs</t>
  </si>
  <si>
    <t>x3 = 2001. Loss adjustment factor to transmission (in Loss adjustment factors to transmission)</t>
  </si>
  <si>
    <t>Calculation =IF(x1="",x2,x2*x3/x1)</t>
  </si>
  <si>
    <t>This sheet collects data from a network model and calculates aggregated annuitised unit costs from these data.</t>
  </si>
  <si>
    <t>2101. Annuity rate</t>
  </si>
  <si>
    <t>x1 = 1010. Rate of return (in Financial and general assumptions)</t>
  </si>
  <si>
    <t>x2 = 1010. Annualisation period (years) (in Financial and general assumptions)</t>
  </si>
  <si>
    <t>x3 = 1010. Days in the charging year (in Financial and general assumptions)</t>
  </si>
  <si>
    <t>Calculation =PMT(x1,x2,-1)*IF(OR(x3&gt;366,x3&lt;365),x3/365.25,1)</t>
  </si>
  <si>
    <t>Annuity rate</t>
  </si>
  <si>
    <t>2102. Loss adjustment factor to transmission for each core level</t>
  </si>
  <si>
    <t>x1 = 1032. Loss adjustment factors to transmission</t>
  </si>
  <si>
    <t>Loss adjustment factor to transmission for each core level</t>
  </si>
  <si>
    <t>2103. Loss adjustment factors</t>
  </si>
  <si>
    <t>x1 = 2102. Loss adjustment factor to transmission for each core level</t>
  </si>
  <si>
    <t>x2 = Loss adjustment factor to transmission for network level exit (in Loss adjustment factors)</t>
  </si>
  <si>
    <t>Copy cells</t>
  </si>
  <si>
    <t>Special copy</t>
  </si>
  <si>
    <t>=x1</t>
  </si>
  <si>
    <t>= x2</t>
  </si>
  <si>
    <t>Loss adjustment factor to transmission for network level exit</t>
  </si>
  <si>
    <t>Loss adjustment factor to transmission for network level entry</t>
  </si>
  <si>
    <t>2104. Diversity calculations</t>
  </si>
  <si>
    <t>x1 = 1017. Diversity allowance between top and bottom of network level</t>
  </si>
  <si>
    <t>x2 = Coincidence to system peak at level exit (in Diversity calculations)</t>
  </si>
  <si>
    <t>Special calculation</t>
  </si>
  <si>
    <t>=previous/(1+x1)</t>
  </si>
  <si>
    <t>=1/x2-1</t>
  </si>
  <si>
    <t>Coincidence to GSP peak at level exit</t>
  </si>
  <si>
    <t>Coincidence to system peak at level exit</t>
  </si>
  <si>
    <t>Diversity allowance between level exit and GSP Group</t>
  </si>
  <si>
    <t>2105. Network model total maximum demand at substation (MW)</t>
  </si>
  <si>
    <t>x1 = 1019. Network model GSP peak demand (MW)</t>
  </si>
  <si>
    <t>x2 = 2104. Coincidence to GSP peak at level exit (in Diversity calculations)</t>
  </si>
  <si>
    <t>Calculation =x1/x2</t>
  </si>
  <si>
    <t>Network model total maximum demand at substation (MW)</t>
  </si>
  <si>
    <t>2106. Network model contribution to system maximum load measured at network level exit (MW)</t>
  </si>
  <si>
    <t>x1 = 2105. Network model total maximum demand at substation (MW)</t>
  </si>
  <si>
    <t>x2 = 2104. Coincidence to system peak at level exit (in Diversity calculations)</t>
  </si>
  <si>
    <t>x3 = 2103. Loss adjustment factor to transmission for network level exit (in Loss adjustment factors)</t>
  </si>
  <si>
    <t>Calculation =x1*x2/x3</t>
  </si>
  <si>
    <t>Network model contribution to system maximum load measured at network level exit (MW)</t>
  </si>
  <si>
    <t>2107. Rerouteing matrix for DRM network levels</t>
  </si>
  <si>
    <t>Combine tables = x1 or x2 or x3 or x4 or x5</t>
  </si>
  <si>
    <t>2108. GSP simultaneous maximum load assumed through each network level (MW)</t>
  </si>
  <si>
    <t>x1 = 2106. Network model contribution to system maximum load measured at network level exit (MW)</t>
  </si>
  <si>
    <t>x2 = 2107. Rerouteing matrix for DRM network levels</t>
  </si>
  <si>
    <t>GSP simultaneous maximum load assumed through each network level (MW)</t>
  </si>
  <si>
    <t>2109. Network model annuity by simultaneous maximum load for each network level (£/kW/year)</t>
  </si>
  <si>
    <t>x1 = 2108. GSP simultaneous maximum load assumed through each network level (MW)</t>
  </si>
  <si>
    <t>x2 = 1020. Gross asset cost by network level (£)</t>
  </si>
  <si>
    <t>x3 = 2101. Annuity rate</t>
  </si>
  <si>
    <t>Calculation =IF(x1,0.001*x2*x3/x1,0)</t>
  </si>
  <si>
    <t>Model £/kW SML</t>
  </si>
  <si>
    <t>Assets 132kV</t>
  </si>
  <si>
    <t>Assets 132kV/EHV</t>
  </si>
  <si>
    <t>Assets EHV</t>
  </si>
  <si>
    <t>Assets EHV/HV</t>
  </si>
  <si>
    <t>Assets 132kV/HV</t>
  </si>
  <si>
    <t>Assets HV</t>
  </si>
  <si>
    <t>Assets HV/LV</t>
  </si>
  <si>
    <t>Assets LV circuits</t>
  </si>
  <si>
    <t>This sheet collects and processes data from the service models.</t>
  </si>
  <si>
    <t>2201. Asset £/customer from LV service models</t>
  </si>
  <si>
    <t>x1 = 1025. Matrix of applicability of LV service models to tariffs with fixed charges</t>
  </si>
  <si>
    <t>x2 = 1022. LV service model asset cost (£)</t>
  </si>
  <si>
    <t>Assets
LV customer</t>
  </si>
  <si>
    <t>2202. Asset £/(MWh/year) from LV service models</t>
  </si>
  <si>
    <t>x1 = 1026. Matrix of applicability of LV service models to unmetered tariffs</t>
  </si>
  <si>
    <t>Asset £/(MWh/year) from LV service models</t>
  </si>
  <si>
    <t>2203. Service model asset p/kWh charge for unmetered tariffs</t>
  </si>
  <si>
    <t>x1 = 1010. Annuity proportion for customer-contributed assets (in Financial and general assumptions)</t>
  </si>
  <si>
    <t>x2 = 2202. Asset £/(MWh/year) from LV service models</t>
  </si>
  <si>
    <t>Calculation =0.1*x1*x2*x3</t>
  </si>
  <si>
    <t>Service model asset p/kWh charge for unmetered tariffs</t>
  </si>
  <si>
    <t>2204. Asset £/customer from HV service models</t>
  </si>
  <si>
    <t>x1 = 1028. Matrix of applicability of HV service models to tariffs with fixed charges</t>
  </si>
  <si>
    <t>x2 = 1023. HV service model asset cost (£)</t>
  </si>
  <si>
    <t>Assets
HV customer</t>
  </si>
  <si>
    <t>2205. Service model assets by tariff (£)</t>
  </si>
  <si>
    <t>x1 = 2201. Asset £/customer from LV service models</t>
  </si>
  <si>
    <t>x2 = 2204. Asset £/customer from HV service models</t>
  </si>
  <si>
    <t>2206. Replacement annuities for service models</t>
  </si>
  <si>
    <t>x1 = 1010. Days in the charging year (in Financial and general assumptions)</t>
  </si>
  <si>
    <t>x2 = 2205. Service model assets by tariff (£)</t>
  </si>
  <si>
    <t>x4 = 1010. Annuity proportion for customer-contributed assets (in Financial and general assumptions)</t>
  </si>
  <si>
    <t>x5 = Service model p/MPAN/day charge (in Replacement annuities for service models)</t>
  </si>
  <si>
    <t>Calculation</t>
  </si>
  <si>
    <t>Cell summation</t>
  </si>
  <si>
    <t>=100/x1*x2*x3*x4</t>
  </si>
  <si>
    <t>=SUM(x5)</t>
  </si>
  <si>
    <t>Service model p/MPAN/day charge</t>
  </si>
  <si>
    <t>Service model p/MPAN/day</t>
  </si>
  <si>
    <t>This sheet compiles information about the assumed characteristics of network users.</t>
  </si>
  <si>
    <t>A load factor represents the average load of a user or user group, relative to the maximum load level of that user or</t>
  </si>
  <si>
    <t>user group. Load factors are numbers between 0 and 1.</t>
  </si>
  <si>
    <t>A coincidence factor represents the expectation value of the load of a user or user group at the time of system maximum load,</t>
  </si>
  <si>
    <t>relative to the maximum load level of that user or user group.  Coincidence factors are numbers between 0 and 1.</t>
  </si>
  <si>
    <t>A load coefficient is the expectation value of the load of a user or user group at the time of system maximum load, relative to the average load level of that user or user group.</t>
  </si>
  <si>
    <t>For demand users, the load coefficient is a demand coefficient and can be calculated as the ratio of the coincidence factor to the load factor.</t>
  </si>
  <si>
    <t>2301. Demand coefficient (load at time of system maximum load divided by average load)</t>
  </si>
  <si>
    <t>x1 = 1041. Coincidence factor to system maximum load for each type of demand user (in Load profile data for demand users)</t>
  </si>
  <si>
    <t>x2 = 1041. Load factor for each type of demand user (in Load profile data for demand users)</t>
  </si>
  <si>
    <t>Demand coefficient</t>
  </si>
  <si>
    <t>2302. Load coefficient</t>
  </si>
  <si>
    <t>x1 = 2301. Demand coefficient (load at time of system maximum load divided by average load)</t>
  </si>
  <si>
    <t>x2 = Negative of generation coefficient; set to -1</t>
  </si>
  <si>
    <t>Load coefficient</t>
  </si>
  <si>
    <t>2303. Discount map</t>
  </si>
  <si>
    <t>2304. LDNO discounts and volumes adjusted for discount</t>
  </si>
  <si>
    <t>x1 = 2303. Discount map</t>
  </si>
  <si>
    <t>x2 = 1037. Embedded network (LDNO) discounts</t>
  </si>
  <si>
    <t>x3 = 100 per cent discount for generators on LDNO networks</t>
  </si>
  <si>
    <t>x4 = Discount for each tariff (except for fixed charges) (in LDNO discounts and volumes adjusted for discount)</t>
  </si>
  <si>
    <t>x5 = 1053. Rate 1 units (MWh) by tariff (in Volume forecasts for the charging year)</t>
  </si>
  <si>
    <t>x6 = 1053. Rate 2 units (MWh) by tariff (in Volume forecasts for the charging year)</t>
  </si>
  <si>
    <t>x7 = 1053. Rate 3 units (MWh) by tariff (in Volume forecasts for the charging year)</t>
  </si>
  <si>
    <t>x8 = 1053. MPANs by tariff (in Volume forecasts for the charging year)</t>
  </si>
  <si>
    <t>x9 = Discount for each tariff for fixed charges only (in LDNO discounts and volumes adjusted for discount)</t>
  </si>
  <si>
    <t>x10 = 1053. Import capacity (kVA) by tariff (in Volume forecasts for the charging year)</t>
  </si>
  <si>
    <t>x11 = 1053. Reactive power units (MVArh) by tariff (in Volume forecasts for the charging year)</t>
  </si>
  <si>
    <t>Combine tables</t>
  </si>
  <si>
    <t>= x3 or x4</t>
  </si>
  <si>
    <t>=x5*(1-x4)</t>
  </si>
  <si>
    <t>=x6*(1-x4)</t>
  </si>
  <si>
    <t>=x7*(1-x4)</t>
  </si>
  <si>
    <t>=x8*(1-x9)</t>
  </si>
  <si>
    <t>=x10*(1-x4)</t>
  </si>
  <si>
    <t>=x11*(1-x4)</t>
  </si>
  <si>
    <t>Discount for each tariff (except for fixed charges)</t>
  </si>
  <si>
    <t>Discount for each tariff for fixed charges only</t>
  </si>
  <si>
    <t>2305. Equivalent volume for each end user</t>
  </si>
  <si>
    <t>x1 = 2304. Rate 1 units (MWh) (in LDNO discounts and volumes adjusted for discount)</t>
  </si>
  <si>
    <t>x2 = 2304. Rate 2 units (MWh) (in LDNO discounts and volumes adjusted for discount)</t>
  </si>
  <si>
    <t>x3 = 2304. Rate 3 units (MWh) (in LDNO discounts and volumes adjusted for discount)</t>
  </si>
  <si>
    <t>x4 = 2304. MPANs (in LDNO discounts and volumes adjusted for discount)</t>
  </si>
  <si>
    <t>x5 = 2304. Import capacity (kVA) (in LDNO discounts and volumes adjusted for discount)</t>
  </si>
  <si>
    <t>x6 = 2304. Reactive power units (MVArh) (in LDNO discounts and volumes adjusted for discount)</t>
  </si>
  <si>
    <t>=SUM(x1)</t>
  </si>
  <si>
    <t>=SUM(x2)</t>
  </si>
  <si>
    <t>=SUM(x3)</t>
  </si>
  <si>
    <t>=SUM(x4)</t>
  </si>
  <si>
    <t>=SUM(x6)</t>
  </si>
  <si>
    <t>2401. Adjust annual hours by distribution time band to match days in year</t>
  </si>
  <si>
    <t>x1 = 1068. Typical annual hours by distribution time band</t>
  </si>
  <si>
    <t>x2 = 1010. Days in the charging year (in Financial and general assumptions)</t>
  </si>
  <si>
    <t>x3 = Total hours in the year according to time band hours input data (in Adjust annual hours by distribution time band to match days in year)</t>
  </si>
  <si>
    <t>=x1*24*x2/x3</t>
  </si>
  <si>
    <t>Hours aggregate</t>
  </si>
  <si>
    <t>Annual hours by distribution time band (reconciled to days in year)</t>
  </si>
  <si>
    <t>Adjust annual hours by distribution time band to match days in year</t>
  </si>
  <si>
    <t>2402. Normalisation of split of rate 1 units by time band</t>
  </si>
  <si>
    <t>x1 = 1061. Average split of rate 1 units by distribution time band</t>
  </si>
  <si>
    <t>x2 = Total split (in Normalisation of split of rate 1 units by time band)</t>
  </si>
  <si>
    <t>x3 = 2401. Annual hours by distribution time band (reconciled to days in year) (in Adjust annual hours by distribution time band to match days in year)</t>
  </si>
  <si>
    <t>x4 = 1010. Days in the charging year (in Financial and general assumptions)</t>
  </si>
  <si>
    <t>=IF(x2,x1/x2,x3/x4/24)</t>
  </si>
  <si>
    <t>Total split</t>
  </si>
  <si>
    <t>Normalised split of rate 1 units by distribution time band</t>
  </si>
  <si>
    <t>2403. Split of rate 1 units between distribution time bands</t>
  </si>
  <si>
    <t>x1 = 2402. Normalised split of rate 1 units by distribution time band (in Normalisation of split of rate 1 units by time band)</t>
  </si>
  <si>
    <t>x2 = Split of rate 1 units between distribution time bands (default)</t>
  </si>
  <si>
    <t>2404. Normalisation of split of rate 2 units by time band</t>
  </si>
  <si>
    <t>x1 = 1062. Average split of rate 2 units by distribution time band</t>
  </si>
  <si>
    <t>x2 = Total split (in Normalisation of split of rate 2 units by time band)</t>
  </si>
  <si>
    <t>Normalised split of rate 2 units by distribution time band</t>
  </si>
  <si>
    <t>2405. Split of rate 2 units between distribution time bands</t>
  </si>
  <si>
    <t>x1 = 2404. Normalised split of rate 2 units by distribution time band (in Normalisation of split of rate 2 units by time band)</t>
  </si>
  <si>
    <t>x2 = Split of rate 2 units between distribution time bands (default)</t>
  </si>
  <si>
    <t>2406. Split of rate 3 units between distribution time bands (default)</t>
  </si>
  <si>
    <t>2407. All units (MWh)</t>
  </si>
  <si>
    <t>x1 = 2305. Rate 1 units (MWh) (in Equivalent volume for each end user)</t>
  </si>
  <si>
    <t>x2 = 2305. Rate 2 units (MWh) (in Equivalent volume for each end user)</t>
  </si>
  <si>
    <t>x3 = 2305. Rate 3 units (MWh) (in Equivalent volume for each end user)</t>
  </si>
  <si>
    <t>Calculation =x1+x2+x3</t>
  </si>
  <si>
    <t>All units (MWh)</t>
  </si>
  <si>
    <t>2408. Calculation of implied load coefficients for two-rate users</t>
  </si>
  <si>
    <t>x1 = 2407. All units (MWh)</t>
  </si>
  <si>
    <t>x2 = 2305. Rate 1 units (MWh) (in Equivalent volume for each end user)</t>
  </si>
  <si>
    <t>x3 = 2403. Split of rate 1 units between distribution time bands</t>
  </si>
  <si>
    <t>x4 = 2305. Rate 2 units (MWh) (in Equivalent volume for each end user)</t>
  </si>
  <si>
    <t>x5 = 2405. Split of rate 2 units between distribution time bands</t>
  </si>
  <si>
    <t>x6 = 2401. Annual hours by distribution time band (reconciled to days in year) (in Adjust annual hours by distribution time band to match days in year)</t>
  </si>
  <si>
    <t>x7 = Use of distribution time bands by units in demand forecast for two-rate tariffs (in Calculation of implied load coefficients for two-rate users)</t>
  </si>
  <si>
    <t>x8 = 1010. Days in the charging year (in Financial and general assumptions)</t>
  </si>
  <si>
    <t>=IF(x1&gt;0,(x2*x3+x4*x5)/x1,0)</t>
  </si>
  <si>
    <t>=IF(x6&gt;0,x7*x8*24/x6,0)</t>
  </si>
  <si>
    <t>Use of distribution time bands by units in demand forecast for two-rate tariffs</t>
  </si>
  <si>
    <t>First-time-band load coefficient for two-rate tariffs</t>
  </si>
  <si>
    <t>2409. Calculation of implied load coefficients for three-rate users</t>
  </si>
  <si>
    <t>x6 = 2305. Rate 3 units (MWh) (in Equivalent volume for each end user)</t>
  </si>
  <si>
    <t>x7 = 2406. Split of rate 3 units between distribution time bands (default)</t>
  </si>
  <si>
    <t>x8 = 2401. Annual hours by distribution time band (reconciled to days in year) (in Adjust annual hours by distribution time band to match days in year)</t>
  </si>
  <si>
    <t>x9 = Use of distribution time bands by units in demand forecast for three-rate tariffs (in Calculation of implied load coefficients for three-rate users)</t>
  </si>
  <si>
    <t>x10 = 1010. Days in the charging year (in Financial and general assumptions)</t>
  </si>
  <si>
    <t>=IF(x1&gt;0,(x2*x3+x4*x5+x6*x7)/x1,0)</t>
  </si>
  <si>
    <t>=IF(x8&gt;0,x9*x10*24/x8,0)</t>
  </si>
  <si>
    <t>Use of distribution time bands by units in demand forecast for three-rate tariffs</t>
  </si>
  <si>
    <t>First-time-band load coefficient for three-rate tariffs</t>
  </si>
  <si>
    <t>2410. Calculation of adjusted time band load coefficients</t>
  </si>
  <si>
    <t>x1 = 2408. First-time-band load coefficient for two-rate tariffs (in Calculation of implied load coefficients for two-rate users)</t>
  </si>
  <si>
    <t>x2 = 2409. First-time-band load coefficient for three-rate tariffs (in Calculation of implied load coefficients for three-rate users)</t>
  </si>
  <si>
    <t>x3 = First-time-band load coefficient (in Calculation of adjusted time band load coefficients)</t>
  </si>
  <si>
    <t>x4 = 2302. Load coefficient</t>
  </si>
  <si>
    <t>= x1 or x2</t>
  </si>
  <si>
    <t>=IF(x3&lt;&gt;0,x4/x3,IF(x4&lt;0,-1,1))</t>
  </si>
  <si>
    <t>First-time-band load coefficient</t>
  </si>
  <si>
    <t>Load coefficient correction factor (kW at peak in band / band average kW)</t>
  </si>
  <si>
    <t>2411. Normalisation of peaking probabilities</t>
  </si>
  <si>
    <t>x1 = 1069. Red, amber and green peaking probabilities (in Peaking probabilities by network level)</t>
  </si>
  <si>
    <t>x2 = Total probability (should be 100%) (in Normalisation of peaking probabilities)</t>
  </si>
  <si>
    <t>x3 = 1068. Typical annual hours by distribution time band</t>
  </si>
  <si>
    <t>x4 = 2401. Total hours in the year according to time band hours input data (in Adjust annual hours by distribution time band to match days in year)</t>
  </si>
  <si>
    <t>=IF(x2,x1/x2,x3/x4)</t>
  </si>
  <si>
    <t>Total probability (should be 100%)</t>
  </si>
  <si>
    <t>Normalised peaking probabilities</t>
  </si>
  <si>
    <t>2412. Peaking probabilities by network level (reshaped)</t>
  </si>
  <si>
    <t>x1 = 2411. Normalised peaking probabilities (in Normalisation of peaking probabilities)</t>
  </si>
  <si>
    <t>Reshape table = x1</t>
  </si>
  <si>
    <t>Probability of peak within timeband</t>
  </si>
  <si>
    <t>2413. Pseudo load coefficient by time band and network level</t>
  </si>
  <si>
    <t>x1 = 2401. Annual hours by distribution time band (reconciled to days in year) (in Adjust annual hours by distribution time band to match days in year)</t>
  </si>
  <si>
    <t>x2 = 2410. Load coefficient correction factor (kW at peak in band / band average kW) (in Calculation of adjusted time band load coefficients)</t>
  </si>
  <si>
    <t>x3 = 2412. Peaking probabilities by network level (reshaped)</t>
  </si>
  <si>
    <t>Calculation =IF(x1&gt;0,x2*x3*24*x4/x1,0)</t>
  </si>
  <si>
    <t>2414. Unit rate 1 pseudo load coefficient by network level</t>
  </si>
  <si>
    <t>x1 = 2413. Pseudo load coefficient by time band and network level</t>
  </si>
  <si>
    <t>x2 = 2403. Split of rate 1 units between distribution time bands</t>
  </si>
  <si>
    <t>2415. Unit rate 2 pseudo load coefficient by network level</t>
  </si>
  <si>
    <t>x2 = 2405. Split of rate 2 units between distribution time bands</t>
  </si>
  <si>
    <t>2416. Unit rate 3 pseudo load coefficient by network level</t>
  </si>
  <si>
    <t>x2 = 2406. Split of rate 3 units between distribution time bands (default)</t>
  </si>
  <si>
    <t>2417. Adjust annual hours by special distribution time band to match days in year</t>
  </si>
  <si>
    <t>x1 = 1066. Typical annual hours by special distribution time band</t>
  </si>
  <si>
    <t>x3 = Total hours in the year according to special time band hours input data (in Adjust annual hours by special distribution time band to match days in year)</t>
  </si>
  <si>
    <t>Annual hours by special distribution time band (reconciled to days in year)</t>
  </si>
  <si>
    <t>Adjust annual hours by special distribution time band to match days in year</t>
  </si>
  <si>
    <t>2418. Normalisation of split of rate 1 units by special time band</t>
  </si>
  <si>
    <t>x1 = 1064. Average split of rate 1 units by special distribution time band</t>
  </si>
  <si>
    <t>x2 = Total split (in Normalisation of split of rate 1 units by special time band)</t>
  </si>
  <si>
    <t>x3 = 2417. Annual hours by special distribution time band (reconciled to days in year) (in Adjust annual hours by special distribution time band to match days in year)</t>
  </si>
  <si>
    <t>Normalised split of rate 1 units by special distribution time band</t>
  </si>
  <si>
    <t>2419. Split of rate 1 units between special distribution time bands</t>
  </si>
  <si>
    <t>x1 = 2418. Normalised split of rate 1 units by special distribution time band (in Normalisation of split of rate 1 units by special time band)</t>
  </si>
  <si>
    <t>x2 = Split of rate 1 units between special distribution time bands (default)</t>
  </si>
  <si>
    <t>2420. Split of rate 2 units between special distribution time bands (default)</t>
  </si>
  <si>
    <t>2421. Split of rate 3 units between special distribution time bands (default)</t>
  </si>
  <si>
    <t>2422. Calculation of implied special load coefficients for one-rate users</t>
  </si>
  <si>
    <t>x3 = 2419. Split of rate 1 units between special distribution time bands</t>
  </si>
  <si>
    <t>x4 = 2417. Annual hours by special distribution time band (reconciled to days in year) (in Adjust annual hours by special distribution time band to match days in year)</t>
  </si>
  <si>
    <t>x5 = Use of special distribution time bands by units in demand forecast for one-rate tariffs (in Calculation of implied special load coefficients for one-rate users)</t>
  </si>
  <si>
    <t>x6 = 1010. Days in the charging year (in Financial and general assumptions)</t>
  </si>
  <si>
    <t>=IF(x1&gt;0,(x2*x3)/x1,0)</t>
  </si>
  <si>
    <t>=IF(x4&gt;0,x5*x6*24/x4,0)</t>
  </si>
  <si>
    <t>Use of special distribution time bands by units in demand forecast for one-rate tariffs</t>
  </si>
  <si>
    <t>First-time-band special load coefficient for one-rate tariffs</t>
  </si>
  <si>
    <t>2423. Calculation of implied special load coefficients for three-rate users</t>
  </si>
  <si>
    <t>x5 = 2420. Split of rate 2 units between special distribution time bands (default)</t>
  </si>
  <si>
    <t>x7 = 2421. Split of rate 3 units between special distribution time bands (default)</t>
  </si>
  <si>
    <t>x8 = 2417. Annual hours by special distribution time band (reconciled to days in year) (in Adjust annual hours by special distribution time band to match days in year)</t>
  </si>
  <si>
    <t>x9 = Use of special distribution time bands by units in demand forecast for three-rate tariffs (in Calculation of implied special load coefficients for three-rate users)</t>
  </si>
  <si>
    <t>Use of special distribution time bands by units in demand forecast for three-rate tariffs</t>
  </si>
  <si>
    <t>First-time-band special load coefficient for three-rate tariffs</t>
  </si>
  <si>
    <t>2424. Estimated contributions to peak demand</t>
  </si>
  <si>
    <t>x1 = 2422. First-time-band special load coefficient for one-rate tariffs (in Calculation of implied special load coefficients for one-rate users)</t>
  </si>
  <si>
    <t>x2 = 2423. First-time-band special load coefficient for three-rate tariffs (in Calculation of implied special load coefficients for three-rate users)</t>
  </si>
  <si>
    <t>x3 = First-time-band special load coefficient (in Estimated contributions to peak demand)</t>
  </si>
  <si>
    <t>x4 = 2407. All units (MWh)</t>
  </si>
  <si>
    <t>x5 = 1010. Days in the charging year (in Financial and general assumptions)</t>
  </si>
  <si>
    <t>x6 = 2302. Load coefficient</t>
  </si>
  <si>
    <t>=x3*x4/24/x5*1000</t>
  </si>
  <si>
    <t>=x6*x4/24/x5*1000</t>
  </si>
  <si>
    <t>First-time-band special load coefficient</t>
  </si>
  <si>
    <t>Contribution to first-band peak kW</t>
  </si>
  <si>
    <t>Contribution to system-peak-time kW</t>
  </si>
  <si>
    <t>2425. Mapping of tariffs to tariff groups for coincidence adjustment factor</t>
  </si>
  <si>
    <t>Unmetered</t>
  </si>
  <si>
    <t>2426. Group contribution to first-band peak kW</t>
  </si>
  <si>
    <t>x1 = 2425. Mapping of tariffs to tariff groups for coincidence adjustment factor</t>
  </si>
  <si>
    <t>x2 = 2424. Contribution to first-band peak kW (in Estimated contributions to peak demand)</t>
  </si>
  <si>
    <t>2427. Group contribution to system-peak-time kW</t>
  </si>
  <si>
    <t>x2 = 2424. Contribution to system-peak-time kW (in Estimated contributions to peak demand)</t>
  </si>
  <si>
    <t>Group contribution to system-peak-time kW</t>
  </si>
  <si>
    <t>2428. Load coefficient correction factor for each group</t>
  </si>
  <si>
    <t>x1 = 2426. Group contribution to first-band peak kW</t>
  </si>
  <si>
    <t>x2 = 2427. Group contribution to system-peak-time kW</t>
  </si>
  <si>
    <t>Calculation =IF(x1,x2/x1,0)</t>
  </si>
  <si>
    <t>Load coefficient correction factor for each group</t>
  </si>
  <si>
    <t>2429. Load coefficient correction factor (based on group)</t>
  </si>
  <si>
    <t>x2 = 2428. Load coefficient correction factor for each group</t>
  </si>
  <si>
    <t>Load coefficient correction factor (based on group)</t>
  </si>
  <si>
    <t>2430. Calculation of special peaking probabilities</t>
  </si>
  <si>
    <t>x2 = Amber peaking probabilities (in Calculation of special peaking probabilities)</t>
  </si>
  <si>
    <t>x4 = 2401. Annual hours by distribution time band (reconciled to days in year) (in Adjust annual hours by distribution time band to match days in year)</t>
  </si>
  <si>
    <t>x5 = 1069. Black peaking probabilities (in Peaking probabilities by network level)</t>
  </si>
  <si>
    <t>x6 = Red peaking probabilities (in Calculation of special peaking probabilities)</t>
  </si>
  <si>
    <t>x7 = Amber peaking rates (in Calculation of special peaking probabilities)</t>
  </si>
  <si>
    <t>x9 = Yellow peaking probabilities (in Calculation of special peaking probabilities)</t>
  </si>
  <si>
    <t>x10 = Green peaking probabilities (in Calculation of special peaking probabilities)</t>
  </si>
  <si>
    <t>=x2*24*x3/x4</t>
  </si>
  <si>
    <t>=IF(x5,x2+x6-x5,x7*x8/x3/24)</t>
  </si>
  <si>
    <t>=1-x9-x10</t>
  </si>
  <si>
    <t>Red peaking probabilities</t>
  </si>
  <si>
    <t>Amber peaking probabilities</t>
  </si>
  <si>
    <t>Green peaking probabilities</t>
  </si>
  <si>
    <t>Amber peaking rates</t>
  </si>
  <si>
    <t>Yellow peaking probabilities</t>
  </si>
  <si>
    <t>2431. Special peaking probabilities by network level</t>
  </si>
  <si>
    <t>x1 = 2430. Green peaking probabilities (in Calculation of special peaking probabilities)</t>
  </si>
  <si>
    <t>x2 = 2430. Yellow peaking probabilities (in Calculation of special peaking probabilities)</t>
  </si>
  <si>
    <t>x3 = 2430. Black peaking probabilities (in Calculation of special peaking probabilities)</t>
  </si>
  <si>
    <t>2432. Special peaking probabilities by network level (reshaped)</t>
  </si>
  <si>
    <t>x1 = 2431. Special peaking probabilities by network level</t>
  </si>
  <si>
    <t>2433. Pseudo load coefficient by time band and network level</t>
  </si>
  <si>
    <t>x1 = 2417. Annual hours by special distribution time band (reconciled to days in year) (in Adjust annual hours by special distribution time band to match days in year)</t>
  </si>
  <si>
    <t>x2 = 2429. Load coefficient correction factor (based on group)</t>
  </si>
  <si>
    <t>x3 = 2432. Special peaking probabilities by network level (reshaped)</t>
  </si>
  <si>
    <t>2434. Unit rate 1 pseudo load coefficient by network level (special)</t>
  </si>
  <si>
    <t>x1 = 2433. Pseudo load coefficient by time band and network level</t>
  </si>
  <si>
    <t>x2 = 2419. Split of rate 1 units between special distribution time bands</t>
  </si>
  <si>
    <t>2435. Unit rate 2 pseudo load coefficient by network level (special)</t>
  </si>
  <si>
    <t>x2 = 2420. Split of rate 2 units between special distribution time bands (default)</t>
  </si>
  <si>
    <t>2436. Unit rate 3 pseudo load coefficient by network level (special)</t>
  </si>
  <si>
    <t>x2 = 2421. Split of rate 3 units between special distribution time bands (default)</t>
  </si>
  <si>
    <t>2437. Unit rate 1 pseudo load coefficient by network level (combined)</t>
  </si>
  <si>
    <t>x1 = 2414. Unit rate 1 pseudo load coefficient by network level</t>
  </si>
  <si>
    <t>x2 = 2434. Unit rate 1 pseudo load coefficient by network level (special)</t>
  </si>
  <si>
    <t>2438. Unit rate 2 pseudo load coefficient by network level (combined)</t>
  </si>
  <si>
    <t>x1 = 2415. Unit rate 2 pseudo load coefficient by network level</t>
  </si>
  <si>
    <t>x2 = 2435. Unit rate 2 pseudo load coefficient by network level (special)</t>
  </si>
  <si>
    <t>2439. Unit rate 3 pseudo load coefficient by network level (combined)</t>
  </si>
  <si>
    <t>x1 = 2416. Unit rate 3 pseudo load coefficient by network level</t>
  </si>
  <si>
    <t>x2 = 2436. Unit rate 3 pseudo load coefficient by network level (special)</t>
  </si>
  <si>
    <t>2501. Contributions of users on one-rate multi tariffs to system simultaneous maximum load by network level (kW)</t>
  </si>
  <si>
    <t>x2 = 2437. Unit rate 1 pseudo load coefficient by network level (combined)</t>
  </si>
  <si>
    <t>x3 = 2012. Loss adjustment factors between end user meter reading and each network level, scaled by network use</t>
  </si>
  <si>
    <t>Calculation =(x1*x2)*x3/(24*x4)*1000</t>
  </si>
  <si>
    <t>2502. Contributions of users on two-rate multi tariffs to system simultaneous maximum load by network level (kW)</t>
  </si>
  <si>
    <t>x3 = 2305. Rate 2 units (MWh) (in Equivalent volume for each end user)</t>
  </si>
  <si>
    <t>x4 = 2438. Unit rate 2 pseudo load coefficient by network level (combined)</t>
  </si>
  <si>
    <t>x5 = 2012. Loss adjustment factors between end user meter reading and each network level, scaled by network use</t>
  </si>
  <si>
    <t>Calculation =(x1*x2+x3*x4)*x5/(24*x6)*1000</t>
  </si>
  <si>
    <t>2503. Contributions of users on three-rate multi tariffs to system simultaneous maximum load by network level (kW)</t>
  </si>
  <si>
    <t>x5 = 2305. Rate 3 units (MWh) (in Equivalent volume for each end user)</t>
  </si>
  <si>
    <t>x6 = 2439. Unit rate 3 pseudo load coefficient by network level (combined)</t>
  </si>
  <si>
    <t>x7 = 2012. Loss adjustment factors between end user meter reading and each network level, scaled by network use</t>
  </si>
  <si>
    <t>Calculation =(x1*x2+x3*x4+x5*x6)*x7/(24*x8)*1000</t>
  </si>
  <si>
    <t>2504. Estimated contributions of users on each tariff to system simultaneous maximum load by network level (kW)</t>
  </si>
  <si>
    <t>x2 = 2302. Load coefficient</t>
  </si>
  <si>
    <t>Calculation =x1*x2*x3/(24*x4)*1000</t>
  </si>
  <si>
    <t>2505. Contributions of users on each tariff to system simultaneous maximum load by network level (kW)</t>
  </si>
  <si>
    <t>x1 = 2501. Contributions of users on one-rate multi tariffs to system simultaneous maximum load by network level (kW)</t>
  </si>
  <si>
    <t>x2 = 2502. Contributions of users on two-rate multi tariffs to system simultaneous maximum load by network level (kW)</t>
  </si>
  <si>
    <t>x3 = 2503. Contributions of users on three-rate multi tariffs to system simultaneous maximum load by network level (kW)</t>
  </si>
  <si>
    <t>x4 = 2504. Estimated contributions of users on each tariff to system simultaneous maximum load by network level (kW)</t>
  </si>
  <si>
    <t>Combine tables = x1 or x2 or x3 or x4</t>
  </si>
  <si>
    <t>2506. Forecast system simultaneous maximum load (kW) from forecast units</t>
  </si>
  <si>
    <t>x1 = 2505. Contributions of users on each tariff to system simultaneous maximum load by network level (kW)</t>
  </si>
  <si>
    <t>Cell summation =SUM(x1)</t>
  </si>
  <si>
    <t>Forecast system simultaneous maximum load (kW) from forecast units</t>
  </si>
  <si>
    <t>2601. Pre-processing of data for standing charge factors</t>
  </si>
  <si>
    <t>x1 = Standing charges factors (in Pre-processing of data for standing charge factors)</t>
  </si>
  <si>
    <t>x2 = 1018. Proportion of relevant load going through 132kV/HV direct transformation</t>
  </si>
  <si>
    <t>x3 = Standing charges factors for 132kV/HV (in Pre-processing of data for standing charge factors)</t>
  </si>
  <si>
    <t>=x1+0.2*x2*x3</t>
  </si>
  <si>
    <t>Standing charges factors</t>
  </si>
  <si>
    <t>Standing charges factors for 132kV/HV</t>
  </si>
  <si>
    <t>Adjusted standing charges factors for 132kV</t>
  </si>
  <si>
    <t>2602. Standing charges factors adapted to use 132kV/HV</t>
  </si>
  <si>
    <t>x1 = 2601. Standing charges factors for 132kV/HV (in Pre-processing of data for standing charge factors)</t>
  </si>
  <si>
    <t>x2 = 2601. Adjusted standing charges factors for 132kV (in Pre-processing of data for standing charge factors)</t>
  </si>
  <si>
    <t>x3 = 2601. Standing charges factors (in Pre-processing of data for standing charge factors)</t>
  </si>
  <si>
    <t>2603. Capacity-based contributions to chargeable aggregate maximum load by network level (kW)</t>
  </si>
  <si>
    <t>x1 = 2305. Import capacity (kVA) (in Equivalent volume for each end user)</t>
  </si>
  <si>
    <t>x2 = 1010. Power factor for all flows in the network model (in Financial and general assumptions)</t>
  </si>
  <si>
    <t>x3 = 2602. Standing charges factors adapted to use 132kV/HV</t>
  </si>
  <si>
    <t>x4 = 2012. Loss adjustment factors between end user meter reading and each network level, scaled by network use</t>
  </si>
  <si>
    <t>Calculation =x1*x2*x3*x4</t>
  </si>
  <si>
    <t>2604. Unit-based contributions to chargeable aggregate maximum load (kW)</t>
  </si>
  <si>
    <t>Calculation =x1/x2*x3*x4/(24*x5)*1000</t>
  </si>
  <si>
    <t>2605. Contributions to aggregate maximum load by network level (kW)</t>
  </si>
  <si>
    <t>x1 = 2603. Capacity-based contributions to chargeable aggregate maximum load by network level (kW)</t>
  </si>
  <si>
    <t>x2 = 2604. Unit-based contributions to chargeable aggregate maximum load (kW)</t>
  </si>
  <si>
    <t>2606. Forecast chargeable aggregate maximum load (kW)</t>
  </si>
  <si>
    <t>x1 = 2605. Contributions to aggregate maximum load by network level (kW)</t>
  </si>
  <si>
    <t>Forecast chargeable aggregate maximum load (kW)</t>
  </si>
  <si>
    <t>2607. Forecast simultaneous load subject to standing charge factors (kW)</t>
  </si>
  <si>
    <t>x2 = 2602. Standing charges factors adapted to use 132kV/HV</t>
  </si>
  <si>
    <t>Calculation =x1*x2</t>
  </si>
  <si>
    <t>2608. Forecast simultaneous load replaced by standing charge (kW)</t>
  </si>
  <si>
    <t>x1 = 2607. Forecast simultaneous load subject to standing charge factors (kW)</t>
  </si>
  <si>
    <t>Forecast simultaneous load replaced by standing charge (kW)</t>
  </si>
  <si>
    <t>2609. Calculated LV diversity allowance</t>
  </si>
  <si>
    <t>x1 = 2606. Forecast chargeable aggregate maximum load (kW)</t>
  </si>
  <si>
    <t>x2 = 2608. Forecast simultaneous load replaced by standing charge (kW)</t>
  </si>
  <si>
    <t>Calculation =x1/x2-1</t>
  </si>
  <si>
    <t>Calculated LV diversity allowance</t>
  </si>
  <si>
    <t>2610. Network level mapping for diversity allowances</t>
  </si>
  <si>
    <t>2611. Diversity allowances including 132kV/HV</t>
  </si>
  <si>
    <t>x1 = 2104. Diversity allowance between level exit and GSP Group (in Diversity calculations)</t>
  </si>
  <si>
    <t>x2 = 2610. Network level mapping for diversity allowances</t>
  </si>
  <si>
    <t>Diversity allowances including 132kV/HV</t>
  </si>
  <si>
    <t>2612. Diversity allowances (including calculated LV value)</t>
  </si>
  <si>
    <t>x1 = 2609. Calculated LV diversity allowance</t>
  </si>
  <si>
    <t>x2 = 2611. Diversity allowances including 132kV/HV</t>
  </si>
  <si>
    <t>Diversity allowances (including calculated LV value)</t>
  </si>
  <si>
    <t>2613. Forecast simultaneous maximum load (kW) adjusted for standing charges</t>
  </si>
  <si>
    <t>x1 = 2506. Forecast system simultaneous maximum load (kW) from forecast units</t>
  </si>
  <si>
    <t>x3 = 2606. Forecast chargeable aggregate maximum load (kW)</t>
  </si>
  <si>
    <t>x4 = 2612. Diversity allowances (including calculated LV value)</t>
  </si>
  <si>
    <t>Calculation =x1-x2+x3/(1+x4)</t>
  </si>
  <si>
    <t>Forecast simultaneous maximum load (kW) adjusted for standing charges</t>
  </si>
  <si>
    <t>2701. Operating expenditure coded by network level (£/year)</t>
  </si>
  <si>
    <t>x1 = 1055. Transmission exit charges (£/year)</t>
  </si>
  <si>
    <t>x2 = Zero for levels other than transmission 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</si>
  <si>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</si>
  <si>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</si>
  <si>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</si>
  <si>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</si>
  <si>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</si>
  <si>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</si>
  <si>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</si>
  <si>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</si>
  <si>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</si>
  <si>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</si>
  <si>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Operating expenditure coded by network level (£/year)</t>
  </si>
  <si>
    <t>2702. Network model assets (£) scaled by load forecast</t>
  </si>
  <si>
    <t>x2 = 2613. Forecast simultaneous maximum load (kW) adjusted for standing charges</t>
  </si>
  <si>
    <t>x3 = 1020. Gross asset cost by network level (£)</t>
  </si>
  <si>
    <t>Calculation =IF(x1,x2*x3/x1/1000,0)</t>
  </si>
  <si>
    <t>Network model assets (£) scaled by load forecast</t>
  </si>
  <si>
    <t>2703. Annual consumption by tariff for unmetered users (MWh)</t>
  </si>
  <si>
    <t>Copy cells = x1</t>
  </si>
  <si>
    <t>Annual consumption by tariff for unmetered users (MWh)</t>
  </si>
  <si>
    <t>2704. Total unmetered units</t>
  </si>
  <si>
    <t>x1 = 2703. Annual consumption by tariff for unmetered users (MWh)</t>
  </si>
  <si>
    <t>Total unmetered units</t>
  </si>
  <si>
    <t>2705. Service model asset data</t>
  </si>
  <si>
    <t>x1 = 2205. Service model assets by tariff (£)</t>
  </si>
  <si>
    <t>x2 = 2305. MPANs (in Equivalent volume for each end user)</t>
  </si>
  <si>
    <t>x3 = 2202. Asset £/(MWh/year) from LV service models</t>
  </si>
  <si>
    <t>x4 = 2704. Total unmetered units</t>
  </si>
  <si>
    <t>x5 = Service model assets (£) scaled by annual MWh (in Service model asset data)</t>
  </si>
  <si>
    <t>x6 = Service model assets (£) scaled by user count (in Service model asset data)</t>
  </si>
  <si>
    <t>x7 = Service model assets (£) scaled by annual MWh (in Service model asset data)</t>
  </si>
  <si>
    <t>=x3*x4</t>
  </si>
  <si>
    <t>= x5</t>
  </si>
  <si>
    <t>=x6+x7</t>
  </si>
  <si>
    <t>Service model assets (£) scaled by user count</t>
  </si>
  <si>
    <t>Service model assets (£) scaled by annual MWh</t>
  </si>
  <si>
    <t>Service model assets (£)</t>
  </si>
  <si>
    <t>Service model asset data</t>
  </si>
  <si>
    <t>2706. Data for allocation of operating expenditure</t>
  </si>
  <si>
    <t>x1 = 2702. Network model assets (£) scaled by load forecast</t>
  </si>
  <si>
    <t>x2 = 2705. Service model assets (£) (in Service model asset data)</t>
  </si>
  <si>
    <t>x3 = Model assets (£) scaled by demand forecast (in Data for allocation of operating expenditure)</t>
  </si>
  <si>
    <t>Model assets (£) scaled by demand forecast</t>
  </si>
  <si>
    <t>Denominator for allocation of operating expenditure</t>
  </si>
  <si>
    <t>Data for allocation of operating expenditure</t>
  </si>
  <si>
    <t>2707. Amount of expenditure to be allocated according to asset values (£/year)</t>
  </si>
  <si>
    <t>x1 = 1059. Direct cost (£/year) (in Other expenditure)</t>
  </si>
  <si>
    <t>x2 = 1059. Network rates (£/year) (in Other expenditure)</t>
  </si>
  <si>
    <t>x3 = 1059. Indirect cost (£/year) (in Other expenditure)</t>
  </si>
  <si>
    <t>x4 = 1059. Indirect cost proportion (in Other expenditure)</t>
  </si>
  <si>
    <t>Calculation =x1+x2+x3*x4</t>
  </si>
  <si>
    <t>Amount of expenditure to be allocated according to asset values (£/year)</t>
  </si>
  <si>
    <t>2708. Total operating expenditure by network level  (£/year)</t>
  </si>
  <si>
    <t>x1 = 2701. Operating expenditure coded by network level (£/year)</t>
  </si>
  <si>
    <t>x2 = 2707. Amount of expenditure to be allocated according to asset values (£/year)</t>
  </si>
  <si>
    <t>x3 = 2706. Denominator for allocation of operating expenditure (in Data for allocation of operating expenditure)</t>
  </si>
  <si>
    <t>x4 = 2706. Model assets (£) scaled by demand forecast (in Data for allocation of operating expenditure)</t>
  </si>
  <si>
    <t>Calculation =x1+x2/x3*x4</t>
  </si>
  <si>
    <t>Total operating expenditure by network level  (£/year)</t>
  </si>
  <si>
    <t>2709. Operating expenditure percentage by network level</t>
  </si>
  <si>
    <t>x1 = 2706. Model assets (£) scaled by demand forecast (in Data for allocation of operating expenditure)</t>
  </si>
  <si>
    <t>x2 = 2708. Total operating expenditure by network level  (£/year)</t>
  </si>
  <si>
    <t>Calculation =IF(x1="","",IF(x1&gt;0,x2/x1,0))</t>
  </si>
  <si>
    <t>Operating expenditure percentage by network level</t>
  </si>
  <si>
    <t>2710. Unit operating expenditure based on simultaneous maximum load (£/kW/year)</t>
  </si>
  <si>
    <t>x1 = 2613. Forecast simultaneous maximum load (kW) adjusted for standing charges</t>
  </si>
  <si>
    <t>Calculation =IF(x1&gt;0,x2/x1,0)</t>
  </si>
  <si>
    <t>Unit operating expenditure based on simultaneous maximum load (£/kW/year)</t>
  </si>
  <si>
    <t>2711. Operating expenditure for customer assets p/MPAN/day</t>
  </si>
  <si>
    <t>x2 = 2709. Operating expenditure percentage by network level</t>
  </si>
  <si>
    <t>x3 = 2205. Service model assets by tariff (£)</t>
  </si>
  <si>
    <t>x4 = Operating expenditure p/MPAN/day by level (in Operating expenditure for customer assets p/MPAN/day)</t>
  </si>
  <si>
    <t>=100/x1*x2*x3</t>
  </si>
  <si>
    <t>Operating expenditure p/MPAN/day by level</t>
  </si>
  <si>
    <t>Operating expenditure for customer assets p/MPAN/day total</t>
  </si>
  <si>
    <t>2712. Operating expenditure for unmetered customer assets (p/kWh)</t>
  </si>
  <si>
    <t>x1 = 2709. Operating expenditure percentage by network level</t>
  </si>
  <si>
    <t>Calculation =0.1*x1*x2</t>
  </si>
  <si>
    <t>This sheet calculates factors used to take account of the costs deemed to be covered by connection charges.</t>
  </si>
  <si>
    <t>2801. Network level of supply (for customer contributions) by tariff</t>
  </si>
  <si>
    <t>2802. Contribution proportion of asset annuities, by customer type and network level of assets</t>
  </si>
  <si>
    <t>x1 = 1060. Customer contributions under current connection charging policy</t>
  </si>
  <si>
    <t>x2 = 1010. Annuity proportion for customer-contributed assets (in Financial and general assumptions)</t>
  </si>
  <si>
    <t>Calculation =x1*(1-x2)</t>
  </si>
  <si>
    <t>2803. Proportion of assets annuities deemed to be covered by customer contributions</t>
  </si>
  <si>
    <t>x1 = 2801. Network level of supply (for customer contributions) by tariff</t>
  </si>
  <si>
    <t>x2 = 2802. Contribution proportion of asset annuities, by customer type and network level of assets</t>
  </si>
  <si>
    <t>2804. Proportion of annual charge covered by contributions (for all charging levels)</t>
  </si>
  <si>
    <t>x1 = Zero for operating expenditure</t>
  </si>
  <si>
    <t>x2 = Zero for GSPs level</t>
  </si>
  <si>
    <t>x3 = 2803. Proportion of assets annuities deemed to be covered by customer contributions</t>
  </si>
  <si>
    <t>This sheet calculates average p/kWh and p/kW/day charges that would apply if no costs were recovered through capacity or fixed charges.</t>
  </si>
  <si>
    <t>2901. Unit cost at each level, £/kW/year (relative to system simultaneous maximum load)</t>
  </si>
  <si>
    <t>x1 = 2109. Network model annuity by simultaneous maximum load for each network level (£/kW/year)</t>
  </si>
  <si>
    <t>x2 = 2710. Unit operating expenditure based on simultaneous maximum load (£/kW/year)</t>
  </si>
  <si>
    <t>Unit cost at each level, £/kW/year (relative to system simultaneous maximum load)</t>
  </si>
  <si>
    <t>2902. Pay-as-you-go yardstick unit costs by charging level (p/kWh)</t>
  </si>
  <si>
    <t>x1 = 2901. Unit cost at each level, £/kW/year (relative to system simultaneous maximum load)</t>
  </si>
  <si>
    <t>x4 = 2804. Proportion of annual charge covered by contributions (for all charging levels)</t>
  </si>
  <si>
    <t>Calculation =x1*x2*x3*(1-x4)/(24*x5)*100</t>
  </si>
  <si>
    <t>2903. Contributions to pay-as-you-go unit rate 1 (p/kWh)</t>
  </si>
  <si>
    <t>x1 = 2437. Unit rate 1 pseudo load coefficient by network level (combined)</t>
  </si>
  <si>
    <t>x2 = 2901. Unit cost at each level, £/kW/year (relative to system simultaneous maximum load)</t>
  </si>
  <si>
    <t>Calculation =x1*x2*x3*(1-x4)*100/(24*x5)</t>
  </si>
  <si>
    <t>2904. Contributions to pay-as-you-go unit rate 2 (p/kWh)</t>
  </si>
  <si>
    <t>x1 = 2438. Unit rate 2 pseudo load coefficient by network level (combined)</t>
  </si>
  <si>
    <t>2905. Contributions to pay-as-you-go unit rate 3 (p/kWh)</t>
  </si>
  <si>
    <t>x1 = 2439. Unit rate 3 pseudo load coefficient by network level (combined)</t>
  </si>
  <si>
    <t>This sheet reallocates some costs from unit charges to fixed or capacity charges, for demand users only.</t>
  </si>
  <si>
    <t>3001. Costs based on aggregate maximum load (£/kW/year)</t>
  </si>
  <si>
    <t>x2 = 2612. Diversity allowances (including calculated LV value)</t>
  </si>
  <si>
    <t>Calculation =x1/(1+x2)</t>
  </si>
  <si>
    <t>Costs based on aggregate maximum load (£/kW/year)</t>
  </si>
  <si>
    <t>3002. Capacity elements p/kVA/day</t>
  </si>
  <si>
    <t>This calculation uses aggregate maximum load and no coincidence factor.</t>
  </si>
  <si>
    <t>x1 = 2602. Standing charges factors adapted to use 132kV/HV</t>
  </si>
  <si>
    <t>x2 = 2012. Loss adjustment factors between end user meter reading and each network level, scaled by network use</t>
  </si>
  <si>
    <t>x3 = 3001. Costs based on aggregate maximum load (£/kW/year)</t>
  </si>
  <si>
    <t>x4 = 1010. Power factor for all flows in the network model (in Financial and general assumptions)</t>
  </si>
  <si>
    <t>x6 = 2804. Proportion of annual charge covered by contributions (for all charging levels)</t>
  </si>
  <si>
    <t>Calculation =100*x1*x2*x3*x4/x5*(1-x6)</t>
  </si>
  <si>
    <t>3003. Yardstick components p/kWh (taking account of standing charges)</t>
  </si>
  <si>
    <t>x2 = 2902. Pay-as-you-go yardstick unit costs by charging level (p/kWh)</t>
  </si>
  <si>
    <t>Calculation =(1-x1)*x2</t>
  </si>
  <si>
    <t>3004. Contributions to unit rate 1 p/kWh by network level (taking account of standing charges)</t>
  </si>
  <si>
    <t>x2 = 2903. Contributions to pay-as-you-go unit rate 1 (p/kWh)</t>
  </si>
  <si>
    <t>3005. Contributions to unit rate 2 p/kWh by network level (taking account of standing charges)</t>
  </si>
  <si>
    <t>x2 = 2904. Contributions to pay-as-you-go unit rate 2 (p/kWh)</t>
  </si>
  <si>
    <t>3006. Contributions to unit rate 3 p/kWh by network level (taking account of standing charges)</t>
  </si>
  <si>
    <t>x2 = 2905. Contributions to pay-as-you-go unit rate 3 (p/kWh)</t>
  </si>
  <si>
    <t>This sheet allocates standing charges to fixed charges for non half hourly settled demand users.</t>
  </si>
  <si>
    <t>3101. Average maximum kVA/MPAN by end user class, for user classes without an agreed import capacity</t>
  </si>
  <si>
    <t>x1 = 2305. MPANs (in Equivalent volume for each end user)</t>
  </si>
  <si>
    <t>x2 = 2407. All units (MWh)</t>
  </si>
  <si>
    <t>x3 = 1010. Power factor for all flows in the network model (in Financial and general assumptions)</t>
  </si>
  <si>
    <t>x4 = 1041. Load factor for each type of demand user (in Load profile data for demand users)</t>
  </si>
  <si>
    <t>Calculation =IF(x1&gt;0,x2/x1/x3/x4/(24*x5)*1000,0)</t>
  </si>
  <si>
    <t>Average maximum kVA/MPAN</t>
  </si>
  <si>
    <t>3102. Capacity-driven fixed charge elements from standing charges factors p/MPAN/day</t>
  </si>
  <si>
    <t>x1 = 3002. Capacity elements p/kVA/day</t>
  </si>
  <si>
    <t>x2 = 3101. Average maximum kVA/MPAN by end user class, for user classes without an agreed import capacity</t>
  </si>
  <si>
    <t>3103. Statistics for tariffs charged for LV circuits on an exit point basis</t>
  </si>
  <si>
    <t>x1 = 2012. Loss adjustment factors between end user meter reading and each network level, scaled by network use</t>
  </si>
  <si>
    <t>x3 = 1041. Load factor for each type of demand user (in Load profile data for demand users)</t>
  </si>
  <si>
    <t>x5 = Zero for related MPANs</t>
  </si>
  <si>
    <t>x6 = 2305. MPANs (in Equivalent volume for each end user)</t>
  </si>
  <si>
    <t>= x1</t>
  </si>
  <si>
    <t>=x2/x3/(24*x4)*1000</t>
  </si>
  <si>
    <t>= x5 or x6</t>
  </si>
  <si>
    <t>Use of LV circuits by each tariff charged on an exit point basis</t>
  </si>
  <si>
    <t>Unit-based contributions to aggregate maximum load by network level (kW)</t>
  </si>
  <si>
    <t>Relevant MPAN count</t>
  </si>
  <si>
    <t>3104. Aggregate data for tariffs charged for LV circuits on an exit point basis</t>
  </si>
  <si>
    <t>x1 = 3103. Use of LV circuits by each tariff charged on an exit point basis (in Statistics for tariffs charged for LV circuits on an exit point basis)</t>
  </si>
  <si>
    <t>x2 = 3103. Unit-based contributions to aggregate maximum load by network level (kW) (in Statistics for tariffs charged for LV circuits on an exit point basis)</t>
  </si>
  <si>
    <t>x3 = 3103. Relevant MPAN count (in Statistics for tariffs charged for LV circuits on an exit point basis)</t>
  </si>
  <si>
    <t>x4 = Aggregate capacity of tariffs charged charged for LV circuits on an exit point basis (kW) (in Aggregate data for tariffs charged for LV circuits on an exit point basis)</t>
  </si>
  <si>
    <t>x5 = Aggregate number of users charged for LV circuits on an exit point basis (in Aggregate data for tariffs charged for LV circuits on an exit point basis)</t>
  </si>
  <si>
    <t>x6 = 1010. Power factor for all flows in the network model (in Financial and general assumptions)</t>
  </si>
  <si>
    <t>=SUMPRODUCT(x1, x3)</t>
  </si>
  <si>
    <t>=x4/x5/x6</t>
  </si>
  <si>
    <t>Aggregate capacity of tariffs charged charged for LV circuits on an exit point basis (kW)</t>
  </si>
  <si>
    <t>Aggregate number of users charged for LV circuits on an exit point basis</t>
  </si>
  <si>
    <t>Average maximum kVA of tariffs charged on an exit point basis for LV circuits</t>
  </si>
  <si>
    <t>Aggregate data for tariffs charged for LV circuits on an exit point basis</t>
  </si>
  <si>
    <t>3105. LV fixed charge elements from standing charges factors p/MPAN/day</t>
  </si>
  <si>
    <t>x2 = 3104. Average maximum kVA of tariffs charged on an exit point basis for LV circuits (in Aggregate data for tariffs charged for LV circuits on an exit point basis)</t>
  </si>
  <si>
    <t>3106. Fixed charge elements from standing charges factors p/MPAN/day</t>
  </si>
  <si>
    <t>x1 = Zero for related MPANs</t>
  </si>
  <si>
    <t>x2 = 3105. LV fixed charge elements from standing charges factors p/MPAN/day</t>
  </si>
  <si>
    <t>x3 = 3102. Capacity-driven fixed charge elements from standing charges factors p/MPAN/day</t>
  </si>
  <si>
    <t>3201. Standard components p/kWh for reactive power (absolute value)</t>
  </si>
  <si>
    <t>x1 = 3003. Yardstick components p/kWh (taking account of standing charges)</t>
  </si>
  <si>
    <t>Calculation =ABS(x1)</t>
  </si>
  <si>
    <t>3202. Standard reactive p/kVArh</t>
  </si>
  <si>
    <t>x1 = 3201. Standard components p/kWh for reactive power (absolute value)</t>
  </si>
  <si>
    <t>x2 = 1092. Average kVAr by kVA, by network level</t>
  </si>
  <si>
    <t>Calculation =x1*x2*x3</t>
  </si>
  <si>
    <t>3203. Network use factors for generator reactive unit charges</t>
  </si>
  <si>
    <t>These factors differ from the network use factors for active power charges/credits in the case of generators,</t>
  </si>
  <si>
    <t>who do not qualify for active power credits at the voltage of connection but are charged reactive unit charges for costs caused at that voltage.</t>
  </si>
  <si>
    <t>3204. Absolute value of load coefficient (kW peak / average kW)</t>
  </si>
  <si>
    <t>x1 = 2302. Load coefficient</t>
  </si>
  <si>
    <t>Absolute load coefficient</t>
  </si>
  <si>
    <t>3205. Pay-as-you-go components p/kWh for reactive power (absolute value)</t>
  </si>
  <si>
    <t>x2 = 3204. Absolute value of load coefficient (kW peak / average kW)</t>
  </si>
  <si>
    <t>x4 = 2004. Loss adjustment factor to transmission for each network level</t>
  </si>
  <si>
    <t>x5 = 2804. Proportion of annual charge covered by contributions (for all charging levels)</t>
  </si>
  <si>
    <t>x6 = 3203. Network use factors for generator reactive unit charges</t>
  </si>
  <si>
    <t>x7 = 1010. Days in the charging year (in Financial and general assumptions)</t>
  </si>
  <si>
    <t>Calculation =x1*x2*x3/x4*(1-x5)*x6/(24*x7)*100</t>
  </si>
  <si>
    <t>3206. Pay-as-you-go reactive p/kVArh</t>
  </si>
  <si>
    <t>x1 = 3205. Pay-as-you-go components p/kWh for reactive power (absolute value)</t>
  </si>
  <si>
    <t>This sheet aggregates elements of tariffs excluding revenue matching and final adjustments and rounding.</t>
  </si>
  <si>
    <t>3301. Unit rate 1 p/kWh (elements)</t>
  </si>
  <si>
    <t>x1 = 3004. Unit rate 1 total p/kWh (taking account of standing charges) — for Tariffs with Unit rate 1 p/kWh from Standard 1 kWh</t>
  </si>
  <si>
    <t>x2 = 3003. Yardstick total p/kWh (taking account of standing charges) — for Tariffs with Unit rate 1 p/kWh from Standard yardstick kWh</t>
  </si>
  <si>
    <t>x3 = 2903. Pay-as-you-go unit rate 1 (p/kWh) — for Tariffs with Unit rate 1 p/kWh from PAYG 1 kWh</t>
  </si>
  <si>
    <t>x4 = 2903. Pay-as-you-go unit rate 1 (p/kWh) — for Tariffs with Unit rate 1 p/kWh from PAYG 1 kWh &amp; customer</t>
  </si>
  <si>
    <t>x5 = 2902. Pay-as-you-go yardstick unit rate (p/kWh) — for Tariffs with Unit rate 1 p/kWh from PAYG yardstick kWh</t>
  </si>
  <si>
    <t>x6 = 2203. Service model asset p/kWh charge for unmetered tariffs — for Tariffs with Unit rate 1 p/kWh from PAYG 1 kWh &amp; customer</t>
  </si>
  <si>
    <t>x7 = 2712. Operating expenditure for unmetered customer assets (p/kWh) — for Tariffs with Unit rate 1 p/kWh from PAYG 1 kWh &amp; customer</t>
  </si>
  <si>
    <t>Combine tables = x1 or x2 or x3 or x4 or x5 or x6 or x7</t>
  </si>
  <si>
    <t>3302. Unit rate 2 p/kWh (elements)</t>
  </si>
  <si>
    <t>x1 = 3005. Unit rate 2 total p/kWh (taking account of standing charges) — for Tariffs with Unit rate 2 p/kWh from Standard 2 kWh</t>
  </si>
  <si>
    <t>x2 = 2904. Pay-as-you-go unit rate 2 (p/kWh) — for Tariffs with Unit rate 2 p/kWh from PAYG 2 kWh</t>
  </si>
  <si>
    <t>x3 = 2904. Pay-as-you-go unit rate 2 (p/kWh) — for Tariffs with Unit rate 2 p/kWh from PAYG 2 kWh &amp; customer</t>
  </si>
  <si>
    <t>x4 = 2203. Service model asset p/kWh charge for unmetered tariffs — for Tariffs with Unit rate 2 p/kWh from PAYG 2 kWh &amp; customer</t>
  </si>
  <si>
    <t>x5 = 2712. Operating expenditure for unmetered customer assets (p/kWh) — for Tariffs with Unit rate 2 p/kWh from PAYG 2 kWh &amp; customer</t>
  </si>
  <si>
    <t>3303. Unit rate 3 p/kWh (elements)</t>
  </si>
  <si>
    <t>x1 = 3006. Unit rate 3 total p/kWh (taking account of standing charges) — for Tariffs with Unit rate 3 p/kWh from Standard 3 kWh</t>
  </si>
  <si>
    <t>x2 = 2905. Pay-as-you-go unit rate 3 (p/kWh) — for Tariffs with Unit rate 3 p/kWh from PAYG 3 kWh</t>
  </si>
  <si>
    <t>x3 = 2905. Pay-as-you-go unit rate 3 (p/kWh) — for Tariffs with Unit rate 3 p/kWh from PAYG 3 kWh &amp; customer</t>
  </si>
  <si>
    <t>x4 = 2203. Service model asset p/kWh charge for unmetered tariffs — for Tariffs with Unit rate 3 p/kWh from PAYG 3 kWh &amp; customer</t>
  </si>
  <si>
    <t>x5 = 2712. Operating expenditure for unmetered customer assets (p/kWh) — for Tariffs with Unit rate 3 p/kWh from PAYG 3 kWh &amp; customer</t>
  </si>
  <si>
    <t>3304. Fixed charge p/MPAN/day (elements)</t>
  </si>
  <si>
    <t>x1 = 3106. Fixed charge from standing charges factors p/MPAN/day — for Tariffs with Fixed charge p/MPAN/day from Fixed from network &amp; customer</t>
  </si>
  <si>
    <t>x2 = 2206. Service model p/MPAN/day (in Replacement annuities for service models) — for Tariffs with Fixed charge p/MPAN/day from Customer</t>
  </si>
  <si>
    <t>x3 = 2206. Service model p/MPAN/day (in Replacement annuities for service models) — for Tariffs with Fixed charge p/MPAN/day from Fixed from network &amp; customer</t>
  </si>
  <si>
    <t>x4 = 2711. Operating expenditure for customer assets p/MPAN/day total (in Operating expenditure for customer assets p/MPAN/day) — for Tariffs with Fixed charge p/MPAN/day from Customer</t>
  </si>
  <si>
    <t>x5 = 2711. Operating expenditure for customer assets p/MPAN/day total (in Operating expenditure for customer assets p/MPAN/day) — for Tariffs with Fixed charge p/MPAN/day from Fixed from network &amp; customer</t>
  </si>
  <si>
    <t>3305. Capacity charge p/kVA/day (elements)</t>
  </si>
  <si>
    <t>x1 = 3002. Capacity charge p/kVA/day — for Tariffs with Capacity charge p/kVA/day from Capacity</t>
  </si>
  <si>
    <t>3306. Reactive power charge p/kVArh (elements)</t>
  </si>
  <si>
    <t>x1 = 3206. Pay-as-you-go reactive p/kVArh</t>
  </si>
  <si>
    <t>x2 = 3202. Standard reactive p/kVArh</t>
  </si>
  <si>
    <t>3307. Summary of charges before revenue matching</t>
  </si>
  <si>
    <t>x1 = 3301. Unit rate 1 p/kWh (elements)</t>
  </si>
  <si>
    <t>x2 = 3302. Unit rate 2 p/kWh (elements)</t>
  </si>
  <si>
    <t>x3 = 3303. Unit rate 3 p/kWh (elements)</t>
  </si>
  <si>
    <t>x4 = 3304. Fixed charge p/MPAN/day (elements)</t>
  </si>
  <si>
    <t>x5 = 3305. Capacity charge p/kVA/day (elements)</t>
  </si>
  <si>
    <t>x6 = 3306. Reactive power charge p/kVArh (elements)</t>
  </si>
  <si>
    <t>Unit rate 1 p/kWh (total)</t>
  </si>
  <si>
    <t>Unit rate 2 p/kWh (total)</t>
  </si>
  <si>
    <t>Unit rate 3 p/kWh (total)</t>
  </si>
  <si>
    <t>Fixed charge p/MPAN/day (total)</t>
  </si>
  <si>
    <t>Capacity charge p/kVA/day (total)</t>
  </si>
  <si>
    <t>Reactive power charge p/kVArh</t>
  </si>
  <si>
    <t>3401. Net revenues by tariff before matching (£)</t>
  </si>
  <si>
    <t>x2 = 3307. Fixed charge p/MPAN/day (total) (in Summary of charges before revenue matching)</t>
  </si>
  <si>
    <t>x3 = 2305. MPANs (in Equivalent volume for each end user)</t>
  </si>
  <si>
    <t>x4 = 3307. Capacity charge p/kVA/day (total) (in Summary of charges before revenue matching)</t>
  </si>
  <si>
    <t>x5 = 2305. Import capacity (kVA) (in Equivalent volume for each end user)</t>
  </si>
  <si>
    <t>x6 = 3307. Unit rate 1 p/kWh (total) (in Summary of charges before revenue matching)</t>
  </si>
  <si>
    <t>x7 = 2305. Rate 1 units (MWh) (in Equivalent volume for each end user)</t>
  </si>
  <si>
    <t>x8 = 3307. Unit rate 2 p/kWh (total) (in Summary of charges before revenue matching)</t>
  </si>
  <si>
    <t>x9 = 2305. Rate 2 units (MWh) (in Equivalent volume for each end user)</t>
  </si>
  <si>
    <t>x10 = 3307. Unit rate 3 p/kWh (total) (in Summary of charges before revenue matching)</t>
  </si>
  <si>
    <t>x11 = 2305. Rate 3 units (MWh) (in Equivalent volume for each end user)</t>
  </si>
  <si>
    <t>x12 = 3307. Reactive power charge p/kVArh (in Summary of charges before revenue matching)</t>
  </si>
  <si>
    <t>x13 = 2305. Reactive power units (MVArh) (in Equivalent volume for each end user)</t>
  </si>
  <si>
    <t>Calculation =0.01*x1*(x2*x3+x4*x5)+10*(x6*x7+x8*x9+x10*x11+x12*x13)</t>
  </si>
  <si>
    <t>Net revenues</t>
  </si>
  <si>
    <t>3402. Target CDCM revenue (£/year)</t>
  </si>
  <si>
    <t>x1 = 1001. Revenue elements and subtotals (£/year) (in CDCM target revenue)</t>
  </si>
  <si>
    <t>Target CDCM revenue (£/year)</t>
  </si>
  <si>
    <t>3403. Revenue surplus or shortfall</t>
  </si>
  <si>
    <t>x1 = 3401. Net revenues by tariff before matching (£)</t>
  </si>
  <si>
    <t>x2 = 3402. Target CDCM revenue (£/year)</t>
  </si>
  <si>
    <t>x3 = Total net revenues before matching (£) (in Revenue surplus or shortfall)</t>
  </si>
  <si>
    <t>=x2-x3</t>
  </si>
  <si>
    <t>Total net revenues before matching (£)</t>
  </si>
  <si>
    <t>Revenue shortfall (surplus) £</t>
  </si>
  <si>
    <t>Revenue surplus or shortfall</t>
  </si>
  <si>
    <t>3501. Analysis of annual revenue by tariff before matching (£/year)</t>
  </si>
  <si>
    <t>x1 = 3307. Unit rate 1 p/kWh (total) (in Summary of charges before revenue matching)</t>
  </si>
  <si>
    <t>x3 = 3307. Unit rate 2 p/kWh (total) (in Summary of charges before revenue matching)</t>
  </si>
  <si>
    <t>x5 = 3307. Unit rate 3 p/kWh (total) (in Summary of charges before revenue matching)</t>
  </si>
  <si>
    <t>x8 = 3307. Fixed charge p/MPAN/day (total) (in Summary of charges before revenue matching)</t>
  </si>
  <si>
    <t>x9 = 2305. MPANs (in Equivalent volume for each end user)</t>
  </si>
  <si>
    <t>x10 = 2302. Load coefficient</t>
  </si>
  <si>
    <t>x11 = 3307. Capacity charge p/kVA/day (total) (in Summary of charges before revenue matching)</t>
  </si>
  <si>
    <t>x12 = 2305. Import capacity (kVA) (in Equivalent volume for each end user)</t>
  </si>
  <si>
    <t>x13 = 3307. Reactive power charge p/kVArh (in Summary of charges before revenue matching)</t>
  </si>
  <si>
    <t>x14 = 2305. Reactive power units (MVArh) (in Equivalent volume for each end user)</t>
  </si>
  <si>
    <t>=10*(x1*x2+x3*x4+x5*x6)</t>
  </si>
  <si>
    <t>=0.01*x7*x8*x9</t>
  </si>
  <si>
    <t>=IF(x10&lt;0,0,0.01*x7*x11*x12)</t>
  </si>
  <si>
    <t>=10*x13*x14</t>
  </si>
  <si>
    <t>From unit rates</t>
  </si>
  <si>
    <t>From fixed charges</t>
  </si>
  <si>
    <t>From capacity charges</t>
  </si>
  <si>
    <t>From reactive power charges</t>
  </si>
  <si>
    <t>3502. Analysis of total annual revenue before matching (£/year)</t>
  </si>
  <si>
    <t>x1 = 3501. Net revenues from active power unit rates before matching (£/year) (in Analysis of annual revenue by tariff before matching (£/year))</t>
  </si>
  <si>
    <t>x2 = 3501. Revenues from demand fixed charges before matching (£/year) (in Analysis of annual revenue by tariff before matching (£/year))</t>
  </si>
  <si>
    <t>x3 = 3501. Revenues from demand capacity charges before matching (£/year) (in Analysis of annual revenue by tariff before matching (£/year))</t>
  </si>
  <si>
    <t>x4 = 3501. Revenues from reactive power charges before matching (£/year) (in Analysis of annual revenue by tariff before matching (£/year))</t>
  </si>
  <si>
    <t>Total net revenues from active power unit rates (£/year)</t>
  </si>
  <si>
    <t>Total revenues from fixed charges (£/year)</t>
  </si>
  <si>
    <t>Total revenues from demand capacity charges (£/year)</t>
  </si>
  <si>
    <t>Total revenues from reactive power charges (£/year)</t>
  </si>
  <si>
    <t>Analysis of total annual revenue before matching (£/year)</t>
  </si>
  <si>
    <t>3503. Allocation of matching revenue target (£/year)</t>
  </si>
  <si>
    <t>x1 = 3403. Revenue shortfall (surplus) £ (in Revenue surplus or shortfall)</t>
  </si>
  <si>
    <t>x2 = 3502. Total net revenues from active power unit rates (£/year) (in Analysis of total annual revenue before matching (£/year))</t>
  </si>
  <si>
    <t>x3 = 3502. Total revenues from fixed charges (£/year) (in Analysis of total annual revenue before matching (£/year))</t>
  </si>
  <si>
    <t>x4 = 3502. Total revenues from demand capacity charges (£/year) (in Analysis of total annual revenue before matching (£/year))</t>
  </si>
  <si>
    <t>x5 = 3502. Total revenues from reactive power charges (£/year) (in Analysis of total annual revenue before matching (£/year))</t>
  </si>
  <si>
    <t>=x1*x2/(x2+x3+x4+x5)</t>
  </si>
  <si>
    <t>=x1*x3/(x2+x3+x4+x5)</t>
  </si>
  <si>
    <t>=x1*x4/(x2+x3+x4+x5)</t>
  </si>
  <si>
    <t>=x1*x5/(x2+x3+x4+x5)</t>
  </si>
  <si>
    <t>Revenue matching target from unit rates (£/year)</t>
  </si>
  <si>
    <t>Revenue matching target from fixed charges (£/year)</t>
  </si>
  <si>
    <t>Revenue matching target from capacity charges (£/year)</t>
  </si>
  <si>
    <t>Revenue matching target from reactive power charges (£/year)</t>
  </si>
  <si>
    <t>Allocation of matching revenue target (£/year)</t>
  </si>
  <si>
    <t>3504. Adder value at which the minimum is breached</t>
  </si>
  <si>
    <t>x2 = 3307. Unit rate 1 p/kWh (total) (in Summary of charges before revenue matching)</t>
  </si>
  <si>
    <t>x4 = 3307. Unit rate 3 p/kWh (total) (in Summary of charges before revenue matching)</t>
  </si>
  <si>
    <t>=IF(x1&lt;0,0,0-x2)</t>
  </si>
  <si>
    <t>=IF(x1&lt;0,0,0-x3)</t>
  </si>
  <si>
    <t>=IF(x1&lt;0,0,0-x4)</t>
  </si>
  <si>
    <t>Adder threshold for Unit rate 1 p/kWh</t>
  </si>
  <si>
    <t>Adder threshold for Unit rate 2 p/kWh</t>
  </si>
  <si>
    <t>Adder threshold for Unit rate 3 p/kWh</t>
  </si>
  <si>
    <t>3505. Marginal revenue effect of adder</t>
  </si>
  <si>
    <t>x4 = 2305. Rate 3 units (MWh) (in Equivalent volume for each end user)</t>
  </si>
  <si>
    <t>=IF(x1&lt;0,0,x2*10)</t>
  </si>
  <si>
    <t>=IF(x1&lt;0,0,x3*10)</t>
  </si>
  <si>
    <t>=IF(x1&lt;0,0,x4*10)</t>
  </si>
  <si>
    <t>Effect through Unit rate 1 p/kWh</t>
  </si>
  <si>
    <t>Effect through Unit rate 2 p/kWh</t>
  </si>
  <si>
    <t>Effect through Unit rate 3 p/kWh</t>
  </si>
  <si>
    <t>3506. Constraint-free solution</t>
  </si>
  <si>
    <t>x1 = 3503. Revenue matching target from unit rates (£/year) (in Allocation of matching revenue target (£/year))</t>
  </si>
  <si>
    <t>x2 = 3505. Effect through Unit rate 1 p/kWh (in Marginal revenue effect of adder)</t>
  </si>
  <si>
    <t>x3 = 3505. Effect through Unit rate 2 p/kWh (in Marginal revenue effect of adder)</t>
  </si>
  <si>
    <t>x4 = 3505. Effect through Unit rate 3 p/kWh (in Marginal revenue effect of adder)</t>
  </si>
  <si>
    <t>Calculation =x1/SUM(x2,x3,x4)</t>
  </si>
  <si>
    <t>Constraint-free solution</t>
  </si>
  <si>
    <t>3507. Starting point</t>
  </si>
  <si>
    <t>x1 = 3506. Constraint-free solution</t>
  </si>
  <si>
    <t>x2 = 3504. Adder threshold for Unit rate 1 p/kWh (in Adder value at which the minimum is breached)</t>
  </si>
  <si>
    <t>x3 = 3504. Adder threshold for Unit rate 2 p/kWh (in Adder value at which the minimum is breached)</t>
  </si>
  <si>
    <t>x4 = 3504. Adder threshold for Unit rate 3 p/kWh (in Adder value at which the minimum is breached)</t>
  </si>
  <si>
    <t>Calculation =MIN(x1,x2,x3,x4)</t>
  </si>
  <si>
    <t>Starting point</t>
  </si>
  <si>
    <t>3508. Solve for General adder rate (p/kWh)</t>
  </si>
  <si>
    <t>x1 = 3507. Starting point</t>
  </si>
  <si>
    <t>x5 = 3505. Effect through Unit rate 1 p/kWh (in Marginal revenue effect of adder)</t>
  </si>
  <si>
    <t>x6 = 3505. Effect through Unit rate 2 p/kWh (in Marginal revenue effect of adder)</t>
  </si>
  <si>
    <t>x7 = 3505. Effect through Unit rate 3 p/kWh (in Marginal revenue effect of adder)</t>
  </si>
  <si>
    <t>x8 = Location (in Solve for General adder rate (p/kWh))</t>
  </si>
  <si>
    <t>x9 = Kink (in Solve for General adder rate (p/kWh))</t>
  </si>
  <si>
    <t>x10 = Ranking before tie break (in Solve for General adder rate (p/kWh))</t>
  </si>
  <si>
    <t>x11 = Counter (in Solve for General adder rate (p/kWh))</t>
  </si>
  <si>
    <t>x12 = Tie breaker (in Solve for General adder rate (p/kWh))</t>
  </si>
  <si>
    <t>x13 = Ranking (in Solve for General adder rate (p/kWh))</t>
  </si>
  <si>
    <t>x14 = Kink reordering (in Solve for General adder rate (p/kWh))</t>
  </si>
  <si>
    <t>x15 = Starting slope contributions (in Solve for General adder rate (p/kWh))</t>
  </si>
  <si>
    <t>x16 = New slope (in Solve for General adder rate (p/kWh))</t>
  </si>
  <si>
    <t>x17 = Location (ordered) (in Solve for General adder rate (p/kWh))</t>
  </si>
  <si>
    <t>x18 = Starting values (in Solve for General adder rate (p/kWh))</t>
  </si>
  <si>
    <t>x19 = 3503. Revenue matching target from unit rates (£/year) (in Allocation of matching revenue target (£/year))</t>
  </si>
  <si>
    <t>x20 = 3506. Constraint-free solution</t>
  </si>
  <si>
    <t>x21 = Value (in Solve for General adder rate (p/kWh))</t>
  </si>
  <si>
    <t>=x10*75+x11</t>
  </si>
  <si>
    <t>Location</t>
  </si>
  <si>
    <t>Kink</t>
  </si>
  <si>
    <t>Starting slope contributions</t>
  </si>
  <si>
    <t>Starting values</t>
  </si>
  <si>
    <t>Ranking before tie break</t>
  </si>
  <si>
    <t>Counter</t>
  </si>
  <si>
    <t>Tie breaker</t>
  </si>
  <si>
    <t>Ranking</t>
  </si>
  <si>
    <t>Kink reordering</t>
  </si>
  <si>
    <t>Location (ordered)</t>
  </si>
  <si>
    <t>New slope</t>
  </si>
  <si>
    <t>Root</t>
  </si>
  <si>
    <t>Kink 1</t>
  </si>
  <si>
    <t>Kink 2</t>
  </si>
  <si>
    <t>Kink 3</t>
  </si>
  <si>
    <t>Kink 4</t>
  </si>
  <si>
    <t>Kink 5</t>
  </si>
  <si>
    <t>Kink 6</t>
  </si>
  <si>
    <t>Kink 7</t>
  </si>
  <si>
    <t>Kink 8</t>
  </si>
  <si>
    <t>Kink 9</t>
  </si>
  <si>
    <t>Kink 10</t>
  </si>
  <si>
    <t>Kink 11</t>
  </si>
  <si>
    <t>Kink 12</t>
  </si>
  <si>
    <t>Kink 13</t>
  </si>
  <si>
    <t>Kink 14</t>
  </si>
  <si>
    <t>Kink 15</t>
  </si>
  <si>
    <t>Kink 16</t>
  </si>
  <si>
    <t>Kink 17</t>
  </si>
  <si>
    <t>Kink 18</t>
  </si>
  <si>
    <t>Kink 19</t>
  </si>
  <si>
    <t>Kink 20</t>
  </si>
  <si>
    <t>Kink 21</t>
  </si>
  <si>
    <t>Kink 22</t>
  </si>
  <si>
    <t>Kink 23</t>
  </si>
  <si>
    <t>Kink 24</t>
  </si>
  <si>
    <t>Kink 25</t>
  </si>
  <si>
    <t>Kink 26</t>
  </si>
  <si>
    <t>Kink 27</t>
  </si>
  <si>
    <t>Kink 28</t>
  </si>
  <si>
    <t>Kink 29</t>
  </si>
  <si>
    <t>Kink 30</t>
  </si>
  <si>
    <t>Kink 31</t>
  </si>
  <si>
    <t>Kink 32</t>
  </si>
  <si>
    <t>Kink 33</t>
  </si>
  <si>
    <t>Kink 34</t>
  </si>
  <si>
    <t>Kink 35</t>
  </si>
  <si>
    <t>Kink 36</t>
  </si>
  <si>
    <t>Kink 37</t>
  </si>
  <si>
    <t>Kink 38</t>
  </si>
  <si>
    <t>Kink 39</t>
  </si>
  <si>
    <t>Kink 40</t>
  </si>
  <si>
    <t>Kink 41</t>
  </si>
  <si>
    <t>Kink 42</t>
  </si>
  <si>
    <t>Kink 43</t>
  </si>
  <si>
    <t>Kink 44</t>
  </si>
  <si>
    <t>Kink 45</t>
  </si>
  <si>
    <t>Kink 46</t>
  </si>
  <si>
    <t>Kink 47</t>
  </si>
  <si>
    <t>Kink 48</t>
  </si>
  <si>
    <t>Kink 49</t>
  </si>
  <si>
    <t>Kink 50</t>
  </si>
  <si>
    <t>Kink 51</t>
  </si>
  <si>
    <t>Kink 52</t>
  </si>
  <si>
    <t>Kink 53</t>
  </si>
  <si>
    <t>Kink 54</t>
  </si>
  <si>
    <t>Kink 55</t>
  </si>
  <si>
    <t>Kink 56</t>
  </si>
  <si>
    <t>Kink 57</t>
  </si>
  <si>
    <t>Kink 58</t>
  </si>
  <si>
    <t>Kink 59</t>
  </si>
  <si>
    <t>Kink 60</t>
  </si>
  <si>
    <t>Kink 61</t>
  </si>
  <si>
    <t>Kink 62</t>
  </si>
  <si>
    <t>Kink 63</t>
  </si>
  <si>
    <t>Kink 64</t>
  </si>
  <si>
    <t>Kink 65</t>
  </si>
  <si>
    <t>Kink 66</t>
  </si>
  <si>
    <t>Kink 67</t>
  </si>
  <si>
    <t>Kink 68</t>
  </si>
  <si>
    <t>Kink 69</t>
  </si>
  <si>
    <t>Kink 70</t>
  </si>
  <si>
    <t>Kink 71</t>
  </si>
  <si>
    <t>Kink 72</t>
  </si>
  <si>
    <t>Kink 73</t>
  </si>
  <si>
    <t>Kink 74</t>
  </si>
  <si>
    <t>Kink 75</t>
  </si>
  <si>
    <t>3509. General adder rate (p/kWh)</t>
  </si>
  <si>
    <t>x1 = 3508. Root (in Solve for General adder rate (p/kWh))</t>
  </si>
  <si>
    <t>Calculation =MIN(x1)</t>
  </si>
  <si>
    <t>General adder rate (p/kWh)</t>
  </si>
  <si>
    <t>3510. Adder value at which the minimum is breached</t>
  </si>
  <si>
    <t>x1 = 3307. Fixed charge p/MPAN/day (total) (in Summary of charges before revenue matching)</t>
  </si>
  <si>
    <t>=0-x1</t>
  </si>
  <si>
    <t>Adder threshold for Fixed charge p/MPAN/day</t>
  </si>
  <si>
    <t>3511. Marginal revenue effect of adder</t>
  </si>
  <si>
    <t>=IF(x1&gt;0,x2*x3*0.01,0)</t>
  </si>
  <si>
    <t>Effect through Fixed charge p/MPAN/day</t>
  </si>
  <si>
    <t>3512. Constraint-free solution</t>
  </si>
  <si>
    <t>x1 = 3503. Revenue matching target from fixed charges (£/year) (in Allocation of matching revenue target (£/year))</t>
  </si>
  <si>
    <t>x2 = 3511. Effect through Fixed charge p/MPAN/day (in Marginal revenue effect of adder)</t>
  </si>
  <si>
    <t>Calculation =x1/SUM(x2)</t>
  </si>
  <si>
    <t>3513. Starting point</t>
  </si>
  <si>
    <t>x1 = 3512. Constraint-free solution</t>
  </si>
  <si>
    <t>x2 = 3510. Adder threshold for Fixed charge p/MPAN/day (in Adder value at which the minimum is breached)</t>
  </si>
  <si>
    <t>Calculation =MIN(x1,x2)</t>
  </si>
  <si>
    <t>3514. Solve for General adder rate (p/MPAN/day)</t>
  </si>
  <si>
    <t>x1 = 3513. Starting point</t>
  </si>
  <si>
    <t>x3 = 3511. Effect through Fixed charge p/MPAN/day (in Marginal revenue effect of adder)</t>
  </si>
  <si>
    <t>x4 = Location (in Solve for General adder rate (p/MPAN/day))</t>
  </si>
  <si>
    <t>x5 = Kink (in Solve for General adder rate (p/MPAN/day))</t>
  </si>
  <si>
    <t>x6 = Ranking before tie break (in Solve for General adder rate (p/MPAN/day))</t>
  </si>
  <si>
    <t>x7 = Counter (in Solve for General adder rate (p/MPAN/day))</t>
  </si>
  <si>
    <t>x8 = Tie breaker (in Solve for General adder rate (p/MPAN/day))</t>
  </si>
  <si>
    <t>x9 = Ranking (in Solve for General adder rate (p/MPAN/day))</t>
  </si>
  <si>
    <t>x10 = Kink reordering (in Solve for General adder rate (p/MPAN/day))</t>
  </si>
  <si>
    <t>x11 = Starting slope contributions (in Solve for General adder rate (p/MPAN/day))</t>
  </si>
  <si>
    <t>x12 = New slope (in Solve for General adder rate (p/MPAN/day))</t>
  </si>
  <si>
    <t>x13 = Location (ordered) (in Solve for General adder rate (p/MPAN/day))</t>
  </si>
  <si>
    <t>x14 = Starting values (in Solve for General adder rate (p/MPAN/day))</t>
  </si>
  <si>
    <t>x15 = 3503. Revenue matching target from fixed charges (£/year) (in Allocation of matching revenue target (£/year))</t>
  </si>
  <si>
    <t>x16 = 3512. Constraint-free solution</t>
  </si>
  <si>
    <t>x17 = Value (in Solve for General adder rate (p/MPAN/day))</t>
  </si>
  <si>
    <t>=x6*25+x7</t>
  </si>
  <si>
    <t>3515. General adder rate (p/MPAN/day)</t>
  </si>
  <si>
    <t>x1 = 3514. Root (in Solve for General adder rate (p/MPAN/day))</t>
  </si>
  <si>
    <t>General adder rate (p/MPAN/day)</t>
  </si>
  <si>
    <t>3516. Adder value at which the minimum is breached</t>
  </si>
  <si>
    <t>x2 = 3307. Capacity charge p/kVA/day (total) (in Summary of charges before revenue matching)</t>
  </si>
  <si>
    <t>Adder threshold for Capacity charge p/kVA/day</t>
  </si>
  <si>
    <t>3517. Marginal revenue effect of adder</t>
  </si>
  <si>
    <t>x2 = 2305. Import capacity (kVA) (in Equivalent volume for each end user)</t>
  </si>
  <si>
    <t>=IF(x1&lt;0,0,x2*x3*0.01)</t>
  </si>
  <si>
    <t>Effect through Capacity charge p/kVA/day</t>
  </si>
  <si>
    <t>3518. Constraint-free solution</t>
  </si>
  <si>
    <t>x1 = 3503. Revenue matching target from capacity charges (£/year) (in Allocation of matching revenue target (£/year))</t>
  </si>
  <si>
    <t>x2 = 3517. Effect through Capacity charge p/kVA/day (in Marginal revenue effect of adder)</t>
  </si>
  <si>
    <t>3519. Starting point</t>
  </si>
  <si>
    <t>x1 = 3518. Constraint-free solution</t>
  </si>
  <si>
    <t>x2 = 3516. Adder threshold for Capacity charge p/kVA/day (in Adder value at which the minimum is breached)</t>
  </si>
  <si>
    <t>3520. Solve for General adder rate (p/kVA/day)</t>
  </si>
  <si>
    <t>x1 = 3519. Starting point</t>
  </si>
  <si>
    <t>x3 = 3517. Effect through Capacity charge p/kVA/day (in Marginal revenue effect of adder)</t>
  </si>
  <si>
    <t>x4 = Location (in Solve for General adder rate (p/kVA/day))</t>
  </si>
  <si>
    <t>x5 = Kink (in Solve for General adder rate (p/kVA/day))</t>
  </si>
  <si>
    <t>x6 = Ranking before tie break (in Solve for General adder rate (p/kVA/day))</t>
  </si>
  <si>
    <t>x7 = Counter (in Solve for General adder rate (p/kVA/day))</t>
  </si>
  <si>
    <t>x8 = Tie breaker (in Solve for General adder rate (p/kVA/day))</t>
  </si>
  <si>
    <t>x9 = Ranking (in Solve for General adder rate (p/kVA/day))</t>
  </si>
  <si>
    <t>x10 = Kink reordering (in Solve for General adder rate (p/kVA/day))</t>
  </si>
  <si>
    <t>x11 = Starting slope contributions (in Solve for General adder rate (p/kVA/day))</t>
  </si>
  <si>
    <t>x12 = New slope (in Solve for General adder rate (p/kVA/day))</t>
  </si>
  <si>
    <t>x13 = Location (ordered) (in Solve for General adder rate (p/kVA/day))</t>
  </si>
  <si>
    <t>x14 = Starting values (in Solve for General adder rate (p/kVA/day))</t>
  </si>
  <si>
    <t>x15 = 3503. Revenue matching target from capacity charges (£/year) (in Allocation of matching revenue target (£/year))</t>
  </si>
  <si>
    <t>x16 = 3518. Constraint-free solution</t>
  </si>
  <si>
    <t>x17 = Value (in Solve for General adder rate (p/kVA/day))</t>
  </si>
  <si>
    <t>3521. General adder rate (p/kVA/day)</t>
  </si>
  <si>
    <t>x1 = 3520. Root (in Solve for General adder rate (p/kVA/day))</t>
  </si>
  <si>
    <t>General adder rate (p/kVA/day)</t>
  </si>
  <si>
    <t>3522. Adder value at which the minimum is breached</t>
  </si>
  <si>
    <t>x1 = 3307. Reactive power charge p/kVArh (in Summary of charges before revenue matching)</t>
  </si>
  <si>
    <t>Adder threshold for Reactive power charge p/kVArh</t>
  </si>
  <si>
    <t>3523. Marginal revenue effect of adder</t>
  </si>
  <si>
    <t>x1 = 2305. Reactive power units (MVArh) (in Equivalent volume for each end user)</t>
  </si>
  <si>
    <t>=x1*10</t>
  </si>
  <si>
    <t>Effect through Reactive power charge p/kVArh</t>
  </si>
  <si>
    <t>3524. Constraint-free solution</t>
  </si>
  <si>
    <t>x1 = 3503. Revenue matching target from reactive power charges (£/year) (in Allocation of matching revenue target (£/year))</t>
  </si>
  <si>
    <t>x2 = 3523. Effect through Reactive power charge p/kVArh (in Marginal revenue effect of adder)</t>
  </si>
  <si>
    <t>3525. Starting point</t>
  </si>
  <si>
    <t>x1 = 3524. Constraint-free solution</t>
  </si>
  <si>
    <t>x2 = 3522. Adder threshold for Reactive power charge p/kVArh (in Adder value at which the minimum is breached)</t>
  </si>
  <si>
    <t>3526. Solve for General adder rate (p/kVArh)</t>
  </si>
  <si>
    <t>x1 = 3525. Starting point</t>
  </si>
  <si>
    <t>x3 = 3523. Effect through Reactive power charge p/kVArh (in Marginal revenue effect of adder)</t>
  </si>
  <si>
    <t>x4 = Location (in Solve for General adder rate (p/kVArh))</t>
  </si>
  <si>
    <t>x5 = Kink (in Solve for General adder rate (p/kVArh))</t>
  </si>
  <si>
    <t>x6 = Ranking before tie break (in Solve for General adder rate (p/kVArh))</t>
  </si>
  <si>
    <t>x7 = Counter (in Solve for General adder rate (p/kVArh))</t>
  </si>
  <si>
    <t>x8 = Tie breaker (in Solve for General adder rate (p/kVArh))</t>
  </si>
  <si>
    <t>x9 = Ranking (in Solve for General adder rate (p/kVArh))</t>
  </si>
  <si>
    <t>x10 = Kink reordering (in Solve for General adder rate (p/kVArh))</t>
  </si>
  <si>
    <t>x11 = Starting slope contributions (in Solve for General adder rate (p/kVArh))</t>
  </si>
  <si>
    <t>x12 = New slope (in Solve for General adder rate (p/kVArh))</t>
  </si>
  <si>
    <t>x13 = Location (ordered) (in Solve for General adder rate (p/kVArh))</t>
  </si>
  <si>
    <t>x14 = Starting values (in Solve for General adder rate (p/kVArh))</t>
  </si>
  <si>
    <t>x15 = 3503. Revenue matching target from reactive power charges (£/year) (in Allocation of matching revenue target (£/year))</t>
  </si>
  <si>
    <t>x16 = 3524. Constraint-free solution</t>
  </si>
  <si>
    <t>x17 = Value (in Solve for General adder rate (p/kVArh))</t>
  </si>
  <si>
    <t>3527. General adder rate (p/kVArh)</t>
  </si>
  <si>
    <t>x1 = 3526. Root (in Solve for General adder rate (p/kVArh))</t>
  </si>
  <si>
    <t>General adder rate (p/kVArh)</t>
  </si>
  <si>
    <t>3528. Adder</t>
  </si>
  <si>
    <t>x3 = 3509. General adder rate (p/kWh)</t>
  </si>
  <si>
    <t>x4 = 3504. Adder threshold for Unit rate 2 p/kWh (in Adder value at which the minimum is breached)</t>
  </si>
  <si>
    <t>x5 = 3504. Adder threshold for Unit rate 3 p/kWh (in Adder value at which the minimum is breached)</t>
  </si>
  <si>
    <t>x6 = 3307. Fixed charge p/MPAN/day (total) (in Summary of charges before revenue matching)</t>
  </si>
  <si>
    <t>x7 = 3510. Adder threshold for Fixed charge p/MPAN/day (in Adder value at which the minimum is breached)</t>
  </si>
  <si>
    <t>x8 = 3515. General adder rate (p/MPAN/day)</t>
  </si>
  <si>
    <t>x9 = 3516. Adder threshold for Capacity charge p/kVA/day (in Adder value at which the minimum is breached)</t>
  </si>
  <si>
    <t>x10 = 3521. General adder rate (p/kVA/day)</t>
  </si>
  <si>
    <t>x11 = 3522. Adder threshold for Reactive power charge p/kVArh (in Adder value at which the minimum is breached)</t>
  </si>
  <si>
    <t>x12 = 3527. General adder rate (p/kVArh)</t>
  </si>
  <si>
    <t>x13 = 1010. Days in the charging year (in Financial and general assumptions)</t>
  </si>
  <si>
    <t>x14 = Adder on Fixed charge p/MPAN/day (in Adder)</t>
  </si>
  <si>
    <t>x15 = 2305. MPANs (in Equivalent volume for each end user)</t>
  </si>
  <si>
    <t>x16 = Adder on Capacity charge p/kVA/day (in Adder)</t>
  </si>
  <si>
    <t>x17 = 2305. Import capacity (kVA) (in Equivalent volume for each end user)</t>
  </si>
  <si>
    <t>x18 = Adder on Unit rate 1 p/kWh (in Adder)</t>
  </si>
  <si>
    <t>x19 = 2305. Rate 1 units (MWh) (in Equivalent volume for each end user)</t>
  </si>
  <si>
    <t>x20 = Adder on Unit rate 2 p/kWh (in Adder)</t>
  </si>
  <si>
    <t>x21 = 2305. Rate 2 units (MWh) (in Equivalent volume for each end user)</t>
  </si>
  <si>
    <t>x22 = Adder on Unit rate 3 p/kWh (in Adder)</t>
  </si>
  <si>
    <t>x23 = 2305. Rate 3 units (MWh) (in Equivalent volume for each end user)</t>
  </si>
  <si>
    <t>x24 = Adder on Reactive power charge p/kVArh (in Adder)</t>
  </si>
  <si>
    <t>x25 = 2305. Reactive power units (MVArh) (in Equivalent volume for each end user)</t>
  </si>
  <si>
    <t>=IF(x1&lt;0,0,MAX(x2,x3))</t>
  </si>
  <si>
    <t>=IF(x1&lt;0,0,MAX(x4,x3))</t>
  </si>
  <si>
    <t>=IF(x1&lt;0,0,MAX(x5,x3))</t>
  </si>
  <si>
    <t>=IF(x6&gt;0,MAX(x7,x8),0)</t>
  </si>
  <si>
    <t>=IF(x1&lt;0,0,MAX(x9,x10))</t>
  </si>
  <si>
    <t>=MAX(x11,x12)</t>
  </si>
  <si>
    <t>=0.01*x13*(x14*x15+x16*x17)+10*(x18*x19+x20*x21+x22*x23+x24*x25)</t>
  </si>
  <si>
    <t>Adder on Unit rate 1 p/kWh</t>
  </si>
  <si>
    <t>Adder on Unit rate 2 p/kWh</t>
  </si>
  <si>
    <t>Adder on Unit rate 3 p/kWh</t>
  </si>
  <si>
    <t>Adder on Fixed charge p/MPAN/day</t>
  </si>
  <si>
    <t>Adder on Capacity charge p/kVA/day</t>
  </si>
  <si>
    <t>Adder on Reactive power charge p/kVArh</t>
  </si>
  <si>
    <t>Net revenues by tariff from adder</t>
  </si>
  <si>
    <t>3601. Tariffs before rounding</t>
  </si>
  <si>
    <t>x2 = 3528. Adder on Unit rate 1 p/kWh (in Adder)</t>
  </si>
  <si>
    <t>x4 = 3528. Adder on Unit rate 2 p/kWh (in Adder)</t>
  </si>
  <si>
    <t>x6 = 3528. Adder on Unit rate 3 p/kWh (in Adder)</t>
  </si>
  <si>
    <t>x7 = 3307. Fixed charge p/MPAN/day (total) (in Summary of charges before revenue matching)</t>
  </si>
  <si>
    <t>x8 = 3528. Adder on Fixed charge p/MPAN/day (in Adder)</t>
  </si>
  <si>
    <t>x9 = 3307. Capacity charge p/kVA/day (total) (in Summary of charges before revenue matching)</t>
  </si>
  <si>
    <t>x10 = 3528. Adder on Capacity charge p/kVA/day (in Adder)</t>
  </si>
  <si>
    <t>x11 = 3307. Reactive power charge p/kVArh (in Summary of charges before revenue matching)</t>
  </si>
  <si>
    <t>x12 = 3528. Adder on Reactive power charge p/kVArh (in Adder)</t>
  </si>
  <si>
    <t>=x1+x2</t>
  </si>
  <si>
    <t>=x3+x4</t>
  </si>
  <si>
    <t>=x5+x6</t>
  </si>
  <si>
    <t>=x7+x8</t>
  </si>
  <si>
    <t>=x9+x10</t>
  </si>
  <si>
    <t>=x11+x12</t>
  </si>
  <si>
    <t>Unit rate 1 p/kWh</t>
  </si>
  <si>
    <t>Unit rate 2 p/kWh</t>
  </si>
  <si>
    <t>Unit rate 3 p/kWh</t>
  </si>
  <si>
    <t>Fixed charge p/MPAN/day</t>
  </si>
  <si>
    <t>Capacity charge p/kVA/day</t>
  </si>
  <si>
    <t>3602. Decimal places</t>
  </si>
  <si>
    <t>Decimal places</t>
  </si>
  <si>
    <t>3603. Tariff rounding</t>
  </si>
  <si>
    <t>x1 = 3601. Unit rate 1 p/kWh before rounding (in Tariffs before rounding)</t>
  </si>
  <si>
    <t>x2 = 3602. Unit rate 1 p/kWh decimal places (in Decimal places)</t>
  </si>
  <si>
    <t>x3 = 3601. Unit rate 2 p/kWh before rounding (in Tariffs before rounding)</t>
  </si>
  <si>
    <t>x4 = 3602. Unit rate 2 p/kWh decimal places (in Decimal places)</t>
  </si>
  <si>
    <t>x5 = 3601. Unit rate 3 p/kWh before rounding (in Tariffs before rounding)</t>
  </si>
  <si>
    <t>x6 = 3602. Unit rate 3 p/kWh decimal places (in Decimal places)</t>
  </si>
  <si>
    <t>x7 = 3601. Fixed charge p/MPAN/day before rounding (in Tariffs before rounding)</t>
  </si>
  <si>
    <t>x8 = 3602. Fixed charge p/MPAN/day decimal places (in Decimal places)</t>
  </si>
  <si>
    <t>x9 = 3601. Capacity charge p/kVA/day before rounding (in Tariffs before rounding)</t>
  </si>
  <si>
    <t>x10 = 3602. Capacity charge p/kVA/day decimal places (in Decimal places)</t>
  </si>
  <si>
    <t>x11 = 3601. Reactive power charge p/kVArh before rounding (in Tariffs before rounding)</t>
  </si>
  <si>
    <t>x12 = 3602. Reactive power charge p/kVArh decimal places (in Decimal places)</t>
  </si>
  <si>
    <t>=ROUND(x1,x2)-x1</t>
  </si>
  <si>
    <t>=ROUND(x3,x4)-x3</t>
  </si>
  <si>
    <t>=ROUND(x5,x6)-x5</t>
  </si>
  <si>
    <t>=ROUND(x7,x8)-x7</t>
  </si>
  <si>
    <t>=ROUND(x9,x10)-x9</t>
  </si>
  <si>
    <t>=ROUND(x11,x12)-x11</t>
  </si>
  <si>
    <t>3604. All the way tariffs</t>
  </si>
  <si>
    <t>x2 = 3603. Unit rate 1 p/kWh rounding (in Tariff rounding)</t>
  </si>
  <si>
    <t>x4 = 3603. Unit rate 2 p/kWh rounding (in Tariff rounding)</t>
  </si>
  <si>
    <t>x6 = 3603. Unit rate 3 p/kWh rounding (in Tariff rounding)</t>
  </si>
  <si>
    <t>x8 = 3603. Fixed charge p/MPAN/day rounding (in Tariff rounding)</t>
  </si>
  <si>
    <t>x10 = 3603. Capacity charge p/kVA/day rounding (in Tariff rounding)</t>
  </si>
  <si>
    <t>x12 = 3603. Reactive power charge p/kVArh rounding (in Tariff rounding)</t>
  </si>
  <si>
    <t>3605. Net revenues by tariff from rounding</t>
  </si>
  <si>
    <t>x2 = 3603. Fixed charge p/MPAN/day rounding (in Tariff rounding)</t>
  </si>
  <si>
    <t>x4 = 3603. Capacity charge p/kVA/day rounding (in Tariff rounding)</t>
  </si>
  <si>
    <t>x6 = 3603. Unit rate 1 p/kWh rounding (in Tariff rounding)</t>
  </si>
  <si>
    <t>x8 = 3603. Unit rate 2 p/kWh rounding (in Tariff rounding)</t>
  </si>
  <si>
    <t>x10 = 3603. Unit rate 3 p/kWh rounding (in Tariff rounding)</t>
  </si>
  <si>
    <t>Net revenues by tariff from rounding</t>
  </si>
  <si>
    <t>3606. Revenue forecast summary</t>
  </si>
  <si>
    <t>x1 = 3403. Total net revenues before matching (£) (in Revenue surplus or shortfall)</t>
  </si>
  <si>
    <t>x2 = 3528. Net revenues by tariff from adder (in Adder)</t>
  </si>
  <si>
    <t>x3 = 3605. Net revenues by tariff from rounding</t>
  </si>
  <si>
    <t>x4 = Total net revenues before matching (£) (in Revenue forecast summary)</t>
  </si>
  <si>
    <t>x5 = Total net revenues from adder (£/year) (in Revenue forecast summary)</t>
  </si>
  <si>
    <t>x6 = Total net revenues from rounding (£) (in Revenue forecast summary)</t>
  </si>
  <si>
    <t>x7 = Total net revenues (£) (in Revenue forecast summary)</t>
  </si>
  <si>
    <t>x8 = 3402. Target CDCM revenue (£/year)</t>
  </si>
  <si>
    <t>=x4+x5+x6</t>
  </si>
  <si>
    <t>=x7-x8</t>
  </si>
  <si>
    <t>Total net revenues from adder (£/year)</t>
  </si>
  <si>
    <t>Total net revenues from rounding (£)</t>
  </si>
  <si>
    <t>Total net revenues (£)</t>
  </si>
  <si>
    <t>Deviation from target revenue (£)</t>
  </si>
  <si>
    <t>Revenue forecast summary</t>
  </si>
  <si>
    <t>3607. Tariffs</t>
  </si>
  <si>
    <t>x1 = 3604. Unit rate 1 p/kWh (in All the way tariffs)</t>
  </si>
  <si>
    <t>x2 = 2304. Discount for each tariff (except for fixed charges) (in LDNO discounts and volumes adjusted for discount)</t>
  </si>
  <si>
    <t>x3 = 3604. Unit rate 2 p/kWh (in All the way tariffs)</t>
  </si>
  <si>
    <t>x4 = 3604. Unit rate 3 p/kWh (in All the way tariffs)</t>
  </si>
  <si>
    <t>x5 = 3604. Fixed charge p/MPAN/day (in All the way tariffs)</t>
  </si>
  <si>
    <t>x6 = 2304. Discount for each tariff for fixed charges only (in LDNO discounts and volumes adjusted for discount)</t>
  </si>
  <si>
    <t>x7 = 3604. Capacity charge p/kVA/day (in All the way tariffs)</t>
  </si>
  <si>
    <t>x8 = 3604. Reactive power charge p/kVArh (in All the way tariffs)</t>
  </si>
  <si>
    <t>=ROUND(x1*(1-x2),3)</t>
  </si>
  <si>
    <t>=ROUND(x3*(1-x2),3)</t>
  </si>
  <si>
    <t>=ROUND(x4*(1-x2),3)</t>
  </si>
  <si>
    <t>=ROUND(x5*(1-x6),2)</t>
  </si>
  <si>
    <t>=ROUND(x7*(1-x2),2)</t>
  </si>
  <si>
    <t>=ROUND(x8*(1-x2),3)</t>
  </si>
  <si>
    <t>3701. Tariffs</t>
  </si>
  <si>
    <t>x1 = 3607. Unit rate 1 p/kWh (in Tariffs)</t>
  </si>
  <si>
    <t>x2 = 3607. Unit rate 2 p/kWh (in Tariffs)</t>
  </si>
  <si>
    <t>x3 = 3607. Unit rate 3 p/kWh (in Tariffs)</t>
  </si>
  <si>
    <t>x4 = 3607. Fixed charge p/MPAN/day (in Tariffs)</t>
  </si>
  <si>
    <t>x5 = 3607. Capacity charge p/kVA/day (in Tariffs)</t>
  </si>
  <si>
    <t>x6 = 3607. Reactive power charge p/kVArh (in Tariffs)</t>
  </si>
  <si>
    <t>Input data</t>
  </si>
  <si>
    <t>= x3</t>
  </si>
  <si>
    <t>= x4</t>
  </si>
  <si>
    <t>= x6</t>
  </si>
  <si>
    <t>Open LLFCs</t>
  </si>
  <si>
    <t>PCs</t>
  </si>
  <si>
    <t>Closed LLFCs</t>
  </si>
  <si>
    <t>5-8</t>
  </si>
  <si>
    <t>This sheet is for information only.  It can be deleted without affecting any calculations elsewhere in the model.</t>
  </si>
  <si>
    <t>3801. Workbook build options and main parameters</t>
  </si>
  <si>
    <t>Include a 132kV/HV network level</t>
  </si>
  <si>
    <t>Network model: 500 MW at time of GSP peak</t>
  </si>
  <si>
    <t>Coincidence correction factors grouped for UMS</t>
  </si>
  <si>
    <t>Standing charges factors: 100/0/0 LV NHH, 100/100/20 network, 100/100/0 substation</t>
  </si>
  <si>
    <t>Put some 132kV costs into HV capacity charges</t>
  </si>
  <si>
    <t>Operating expenditure allocated by asset values</t>
  </si>
  <si>
    <t>LV circuit costs by exit point for all small NHH demand</t>
  </si>
  <si>
    <t xml:space="preserve"> </t>
  </si>
  <si>
    <t>x2 = 3606. Total net revenues from adder (£/year) (in Revenue forecast summary)</t>
  </si>
  <si>
    <t>x3 = 3606. Deviation from target revenue (£) (in Revenue forecast summary)</t>
  </si>
  <si>
    <t>x4 = Deviation from target revenue (£) (in Revenue forecast summary) (copy) (in Workbook build options and main parameters)</t>
  </si>
  <si>
    <t>x5 = 3402. Target CDCM revenue (£/year)</t>
  </si>
  <si>
    <t>=x4/x5</t>
  </si>
  <si>
    <t>Over/under recovery</t>
  </si>
  <si>
    <t>Workbook build options and main parameters</t>
  </si>
  <si>
    <t>3802.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</si>
  <si>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</si>
  <si>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</si>
  <si>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</si>
  <si>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</si>
  <si>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x6 = 3607. Fixed charge p/MPAN/day (in Tariffs)</t>
  </si>
  <si>
    <t>x7 = 3607. Capacity charge p/kVA/day (in Tariffs)</t>
  </si>
  <si>
    <t>x8 = 1053. Import capacity (kVA) by tariff (in Volume forecasts for the charging year)</t>
  </si>
  <si>
    <t>x9 = 3607. Unit rate 1 p/kWh (in Tariffs)</t>
  </si>
  <si>
    <t>x10 = 3607. Unit rate 2 p/kWh (in Tariffs)</t>
  </si>
  <si>
    <t>x11 = 3607. Unit rate 3 p/kWh (in Tariffs)</t>
  </si>
  <si>
    <t>x12 = 3607. Reactive power charge p/kVArh (in Tariffs)</t>
  </si>
  <si>
    <t>x13 = 1053. Reactive power units (MVArh) by tariff (in Volume forecasts for the charging year)</t>
  </si>
  <si>
    <t>x14 = All units (MWh) (in Revenue summary)</t>
  </si>
  <si>
    <t>x15 = Net revenues (£) (in Revenue summary)</t>
  </si>
  <si>
    <t>x16 = MPANs by tariff (in Volume forecasts for the charging year) (copy) (in Revenue summary)</t>
  </si>
  <si>
    <t>x17 = Revenues from unit rates (£) (in Revenue summary)</t>
  </si>
  <si>
    <t>x18 = Net revenues from unit rate 1 (£) (in Revenue summary)</t>
  </si>
  <si>
    <t>x19 = Net revenues from unit rate 2 (£) (in Revenue summary)</t>
  </si>
  <si>
    <t>x20 = Net revenues from unit rate 3 (£) (in Revenue summary)</t>
  </si>
  <si>
    <t>x21 = Revenues from fixed charges (£) (in Revenue summary)</t>
  </si>
  <si>
    <t>x22 = Revenues from capacity charges (£) (in Revenue summary)</t>
  </si>
  <si>
    <t>x23 = Revenues from reactive power charges (£) (in Revenue summary)</t>
  </si>
  <si>
    <t>=x1+x2+x3</t>
  </si>
  <si>
    <t>=0.01*x5*(x6*x4+x7*x8)+10*(x9*x1+x10*x2+x11*x3+x12*x13)</t>
  </si>
  <si>
    <t>=10*(x9*x1+x10*x2+x11*x3)</t>
  </si>
  <si>
    <t>=x6*x5*x4/100</t>
  </si>
  <si>
    <t>=x7*x5*x8/100</t>
  </si>
  <si>
    <t>=x12*x13*10</t>
  </si>
  <si>
    <t>=IF(x14&lt;&gt;0,0.1*x15/x14,"")</t>
  </si>
  <si>
    <t>=IF(x16&lt;&gt;0,x15/x16,"")</t>
  </si>
  <si>
    <t>=IF(x14&lt;&gt;0,0.1*x17/x14,0)</t>
  </si>
  <si>
    <t>=x9*x1*10</t>
  </si>
  <si>
    <t>=x10*x2*10</t>
  </si>
  <si>
    <t>=x11*x3*10</t>
  </si>
  <si>
    <t>=IF(x17&lt;&gt;0,x18/x17,"")</t>
  </si>
  <si>
    <t>=IF(x17&lt;&gt;0,x19/x17,"")</t>
  </si>
  <si>
    <t>=IF(x17&lt;&gt;0,x20/x17,"")</t>
  </si>
  <si>
    <t>=IF(x15&lt;&gt;0,x21/x15,"")</t>
  </si>
  <si>
    <t>=IF(x15&lt;&gt;0,x22/x15,"")</t>
  </si>
  <si>
    <t>=IF(x15&lt;&gt;0,x23/x15,"")</t>
  </si>
  <si>
    <t>Net revenues (£)</t>
  </si>
  <si>
    <t>Revenues from unit rates (£)</t>
  </si>
  <si>
    <t>Revenues from fixed charges (£)</t>
  </si>
  <si>
    <t>Revenues from capacity charges (£)</t>
  </si>
  <si>
    <t>Revenues from reactive power charges (£)</t>
  </si>
  <si>
    <t>Average p/kWh</t>
  </si>
  <si>
    <t>Average £/MPAN</t>
  </si>
  <si>
    <t>Average unit rate p/kWh</t>
  </si>
  <si>
    <t>Net revenues from unit rate 1 (£)</t>
  </si>
  <si>
    <t>Net revenues from unit rate 2 (£)</t>
  </si>
  <si>
    <t>Net revenues from unit rate 3 (£)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</si>
  <si>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</si>
  <si>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</si>
  <si>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</si>
  <si>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</si>
  <si>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</si>
  <si>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Reactive power charge proportion</t>
  </si>
  <si>
    <t>3803. Revenue summary by tariff component</t>
  </si>
  <si>
    <t>x1 = 3802. All units (MWh) (in Revenue summary)</t>
  </si>
  <si>
    <t>x2 = 3802. MPANs by tariff (in Volume forecasts for the charging year) (copy) (in Revenue summary)</t>
  </si>
  <si>
    <t>x3 = 3802. Net revenues (£) (in Revenue summary)</t>
  </si>
  <si>
    <t>x4 = 3802. Revenues from unit rates (£) (in Revenue summary)</t>
  </si>
  <si>
    <t>x5 = 3802. Revenues from fixed charges (£) (in Revenue summary)</t>
  </si>
  <si>
    <t>x6 = 3802. Revenues from capacity charges (£) (in Revenue summary)</t>
  </si>
  <si>
    <t>x7 = 3802. Revenues from reactive power charges (£) (in Revenue summary)</t>
  </si>
  <si>
    <t>=SUM(x7)</t>
  </si>
  <si>
    <t>Total units (MWh)</t>
  </si>
  <si>
    <t>Total MPANs</t>
  </si>
  <si>
    <t>Total net revenues from unit rates (£)</t>
  </si>
  <si>
    <t>Total revenues from fixed charges (£)</t>
  </si>
  <si>
    <t>Total revenues from capacity charges (£)</t>
  </si>
  <si>
    <t>Total revenues from reactive power charges (£)</t>
  </si>
  <si>
    <t>Revenue summary by tariff component</t>
  </si>
  <si>
    <t>MWh/year</t>
  </si>
  <si>
    <t>MWh/MPAN/year</t>
  </si>
  <si>
    <t>Revenue (£/year)</t>
  </si>
  <si>
    <t>Average £/MPAN/year</t>
  </si>
  <si>
    <t>Assets LV customer</t>
  </si>
  <si>
    <t>Assets HV customer</t>
  </si>
  <si>
    <t>Transmission exit</t>
  </si>
  <si>
    <t>Operating 132kV</t>
  </si>
  <si>
    <t>Operating 132kV/EHV</t>
  </si>
  <si>
    <t>Operating EHV</t>
  </si>
  <si>
    <t>Operating EHV/HV</t>
  </si>
  <si>
    <t>Operating 132kV/HV</t>
  </si>
  <si>
    <t>Operating HV</t>
  </si>
  <si>
    <t>Operating HV/LV</t>
  </si>
  <si>
    <t>Operating LV circuits</t>
  </si>
  <si>
    <t>Operating LV customer</t>
  </si>
  <si>
    <t>Operating HV customer</t>
  </si>
  <si>
    <t>Adder</t>
  </si>
  <si>
    <t>Rounding</t>
  </si>
  <si>
    <t>Total</t>
  </si>
  <si>
    <t>Average unit rate (p/kWh)</t>
  </si>
  <si>
    <t>Average p/kVA/day</t>
  </si>
  <si>
    <t>This sheet provides matrices breaking down each tariff component into its elements.</t>
  </si>
  <si>
    <t>3901. Revenue matrix by tariff</t>
  </si>
  <si>
    <t>Revenue matrix by tariff, charging element and network level</t>
  </si>
  <si>
    <t>Total net revenue by tariff (£/year)</t>
  </si>
  <si>
    <t>3902. Revenues by charging element and network level</t>
  </si>
  <si>
    <t>Total net revenue by charging element and network level (£/year)</t>
  </si>
  <si>
    <t>Total net revenue (£/year)</t>
  </si>
  <si>
    <t>Revenues by charging element and network level</t>
  </si>
  <si>
    <t>4001. Revenues under current tariffs (£)</t>
  </si>
  <si>
    <t>x1 = 1201. Current revenues if known (£) (in Current tariff information)</t>
  </si>
  <si>
    <t>x3 = 1201. Current Fixed charge p/MPAN/day (in Current tariff information)</t>
  </si>
  <si>
    <t>x5 = 1201. Current Capacity charge p/kVA/day (in Current tariff information)</t>
  </si>
  <si>
    <t>x6 = 1053. Import capacity (kVA) by tariff (in Volume forecasts for the charging year)</t>
  </si>
  <si>
    <t>x7 = 1201. Current Unit rate 1 p/kWh (in Current tariff information)</t>
  </si>
  <si>
    <t>x8 = 1053. Rate 1 units (MWh) by tariff (in Volume forecasts for the charging year)</t>
  </si>
  <si>
    <t>x9 = 1201. Current Unit rate 2 p/kWh (in Current tariff information)</t>
  </si>
  <si>
    <t>x10 = 1053. Rate 2 units (MWh) by tariff (in Volume forecasts for the charging year)</t>
  </si>
  <si>
    <t>x11 = 1201. Current Unit rate 3 p/kWh (in Current tariff information)</t>
  </si>
  <si>
    <t>x12 = 1053. Rate 3 units (MWh) by tariff (in Volume forecasts for the charging year)</t>
  </si>
  <si>
    <t>x13 = 1201. Current Reactive power charge p/kVArh (in Current tariff information)</t>
  </si>
  <si>
    <t>x14 = 1053. Reactive power units (MVArh) by tariff (in Volume forecasts for the charging year)</t>
  </si>
  <si>
    <t>Calculation =IF(x1,x1,0.01*x2*(x3*x4+x5*x6)+10*(x7*x8+x9*x10+x11*x12+x13*x14))</t>
  </si>
  <si>
    <t>Revenues under current tariffs (£)</t>
  </si>
  <si>
    <t>4002. All-the-way volumes</t>
  </si>
  <si>
    <t>x5 = 1053. Import capacity (kVA) by tariff (in Volume forecasts for the charging year)</t>
  </si>
  <si>
    <t>x6 = 1053. Reactive power units (MVArh) by tariff (in Volume forecasts for the charging year)</t>
  </si>
  <si>
    <t>x7 = 3802. All units (MWh) (in Revenue summary)</t>
  </si>
  <si>
    <t>= x7</t>
  </si>
  <si>
    <t>4003. Normalised to</t>
  </si>
  <si>
    <t>Normalised to</t>
  </si>
  <si>
    <t>MPAN</t>
  </si>
  <si>
    <t>kVA</t>
  </si>
  <si>
    <t>MWh</t>
  </si>
  <si>
    <t>4004. Normalised volumes for comparisons</t>
  </si>
  <si>
    <t>x1 = 4002. Rate 1 units (MWh) by tariff (in Volume forecasts for the charging year) (in All-the-way volumes)</t>
  </si>
  <si>
    <t>x2 = 4003. Normalised to</t>
  </si>
  <si>
    <t>x3 = 4002. Import capacity (kVA) by tariff (in Volume forecasts for the charging year) (in All-the-way volumes)</t>
  </si>
  <si>
    <t>x4 = 4002. MPANs by tariff (in Volume forecasts for the charging year) (in All-the-way volumes)</t>
  </si>
  <si>
    <t>x5 = 4002. All units (MWh) (in Revenue summary) (in All-the-way volumes)</t>
  </si>
  <si>
    <t>x6 = 4002. Rate 2 units (MWh) by tariff (in Volume forecasts for the charging year) (in All-the-way volumes)</t>
  </si>
  <si>
    <t>x7 = 4002. Rate 3 units (MWh) by tariff (in Volume forecasts for the charging year) (in All-the-way volumes)</t>
  </si>
  <si>
    <t>x8 = 4002. Reactive power units (MVArh) by tariff (in Volume forecasts for the charging year) (in All-the-way volumes)</t>
  </si>
  <si>
    <t>x9 = 1010. Days in the charging year (in Financial and general assumptions)</t>
  </si>
  <si>
    <t>x10 = 3607. Fixed charge p/MPAN/day (in Tariffs)</t>
  </si>
  <si>
    <t>x11 = Normalised MPANs (in Normalised volumes for comparisons)</t>
  </si>
  <si>
    <t>x12 = 3607. Capacity charge p/kVA/day (in Tariffs)</t>
  </si>
  <si>
    <t>x13 = Normalised Import capacity (kVA) (in Normalised volumes for comparisons)</t>
  </si>
  <si>
    <t>x14 = 3607. Unit rate 1 p/kWh (in Tariffs)</t>
  </si>
  <si>
    <t>x15 = Normalised Rate 1 units (MWh) (in Normalised volumes for comparisons)</t>
  </si>
  <si>
    <t>x16 = 3607. Unit rate 2 p/kWh (in Tariffs)</t>
  </si>
  <si>
    <t>x17 = Normalised Rate 2 units (MWh) (in Normalised volumes for comparisons)</t>
  </si>
  <si>
    <t>x18 = 3607. Unit rate 3 p/kWh (in Tariffs)</t>
  </si>
  <si>
    <t>x19 = Normalised Rate 3 units (MWh) (in Normalised volumes for comparisons)</t>
  </si>
  <si>
    <t>x20 = 3607. Reactive power charge p/kVArh (in Tariffs)</t>
  </si>
  <si>
    <t>x21 = Normalised Reactive power units (MVArh) (in Normalised volumes for comparisons)</t>
  </si>
  <si>
    <t>=x1/IF(x2="kVA",IF(x3,x3,1),IF(x2="MPAN",IF(x4,x4,1),IF(x5,x5,1)))</t>
  </si>
  <si>
    <t>=x6/IF(x2="kVA",IF(x3,x3,1),IF(x2="MPAN",IF(x4,x4,1),IF(x5,x5,1)))</t>
  </si>
  <si>
    <t>=x7/IF(x2="kVA",IF(x3,x3,1),IF(x2="MPAN",IF(x4,x4,1),IF(x5,x5,1)))</t>
  </si>
  <si>
    <t>=x4/IF(x2="kVA",IF(x3,x3,1),IF(x2="MPAN",IF(x4,x4,1),IF(x5,x5,1)))</t>
  </si>
  <si>
    <t>=x3/IF(x2="kVA",IF(x3,x3,1),IF(x2="MPAN",IF(x4,x4,1),IF(x5,x5,1)))</t>
  </si>
  <si>
    <t>=x8/IF(x2="kVA",IF(x3,x3,1),IF(x2="MPAN",IF(x4,x4,1),IF(x5,x5,1)))</t>
  </si>
  <si>
    <t>=0.01*x9*(x10*x11+x12*x13)+10*(x14*x15+x16*x17+x18*x19+x20*x21)</t>
  </si>
  <si>
    <t>Normalised Rate 1 units (MWh)</t>
  </si>
  <si>
    <t>Normalised Rate 2 units (MWh)</t>
  </si>
  <si>
    <t>Normalised Rate 3 units (MWh)</t>
  </si>
  <si>
    <t>Normalised MPANs</t>
  </si>
  <si>
    <t>Normalised Import capacity (kVA)</t>
  </si>
  <si>
    <t>Normalised Reactive power units (MVArh)</t>
  </si>
  <si>
    <t>Normalised revenues (£)</t>
  </si>
  <si>
    <t>4005. LDNO LV charges (normalised £)</t>
  </si>
  <si>
    <t>x1 = 4004. Normalised revenues (£) (in Normalised volumes for comparisons)</t>
  </si>
  <si>
    <t>LDNO LV charges (normalised £)</t>
  </si>
  <si>
    <t>N/A</t>
  </si>
  <si>
    <t>4006. LDNO HV charges (normalised £)</t>
  </si>
  <si>
    <t>LDNO HV charges (normalised £)</t>
  </si>
  <si>
    <t>4101. Comparison with current all-the-way demand tariffs</t>
  </si>
  <si>
    <t>x1 = 4001. Revenues under current tariffs (£)</t>
  </si>
  <si>
    <t>x2 = 3802. Net revenues (£) (in Revenue summary)</t>
  </si>
  <si>
    <t>x3 = 3802. All units (MWh) (in Revenue summary)</t>
  </si>
  <si>
    <t>=IF(x1,x2/x1-1,"")</t>
  </si>
  <si>
    <t>=(x2-x1)/IF(x3,x3,1)/10</t>
  </si>
  <si>
    <t>Change</t>
  </si>
  <si>
    <t>Absolute change (average p/kWh)</t>
  </si>
  <si>
    <t>4102. LDNO margins in use of system charges</t>
  </si>
  <si>
    <t>x1 = 4003. Normalised to</t>
  </si>
  <si>
    <t>x2 = 4004. Normalised revenues (£) (in Normalised volumes for comparisons)</t>
  </si>
  <si>
    <t>x3 = 4005. LDNO LV charges (normalised £)</t>
  </si>
  <si>
    <t>x4 = All-the-way charges (normalised £) (in LDNO margins in use of system charges)</t>
  </si>
  <si>
    <t>x5 = 4006. LDNO HV charges (normalised £)</t>
  </si>
  <si>
    <t>=IF(x3,x4-x3,"")</t>
  </si>
  <si>
    <t>=IF(x5,x4-x5,"")</t>
  </si>
  <si>
    <t>All-the-way charges (normalised £)</t>
  </si>
  <si>
    <t>LDNO LV margin (normalised £)</t>
  </si>
  <si>
    <t>LDNO HV margin (normalised £)</t>
  </si>
  <si>
    <t>This document, model or dataset has been prepared by Reckon LLP on the instructions of the DCUSA Panel or</t>
  </si>
  <si>
    <t>one of its working groups.  Only the DCUSA Panel and its working groups have authority to approve this</t>
  </si>
  <si>
    <t>material as meeting their requirements.  Reckon LLP makes no representation about the suitability of this</t>
  </si>
  <si>
    <t>material for the purposes of complying with any licence conditions or furthering any relevant objective.</t>
  </si>
  <si>
    <t>UNLESS STATED OTHERWISE, THIS WORKBOOK IS ONLY A PROTOTYPE FOR TESTING</t>
  </si>
  <si>
    <t>PURPOSES AND ALL THE DATA IN THIS MODEL ARE FOR ILLUSTRATION ONLY.</t>
  </si>
  <si>
    <t>This workbook is structured as a series of named and numbered tables. There is a list of tables below, with</t>
  </si>
  <si>
    <t>hyperlinks.  Above each calculation table, there is a description of the calculations made, and a hyperlinked</t>
  </si>
  <si>
    <t>list of the tables or parts of tables from which data are used in the calculation. Hyperlinks point to the</t>
  </si>
  <si>
    <t>relevant table column heading of the relevant table. Scrolling up or down is usually required after clicking</t>
  </si>
  <si>
    <t>a hyperlink in order to bring the relevant data and/or headings into view. Some versions of Microsoft Excel</t>
  </si>
  <si>
    <t>can display a "Back" button, which can be useful when using hyperlinks to navigate around the workbook.</t>
  </si>
  <si>
    <t>Colour coding</t>
  </si>
  <si>
    <t>Constant value</t>
  </si>
  <si>
    <t>Formula: calculation</t>
  </si>
  <si>
    <t>Formula: copy</t>
  </si>
  <si>
    <t>Void cell in input data table</t>
  </si>
  <si>
    <t>Void cell in other table</t>
  </si>
  <si>
    <t>Unlocked cell for notes</t>
  </si>
  <si>
    <t xml:space="preserve">Copyright 2009-2011 Energy Networks Association Limited and others. Copyright 2011-2014 Franck Latrémolière, Reckon LLP and others. </t>
  </si>
  <si>
    <t>The code used to generate this spreadsheet includes open-source software published at https://github.com/f20/power-models.</t>
  </si>
  <si>
    <t xml:space="preserve">Use and distribution of the source code is subject to the conditions stated therein. </t>
  </si>
  <si>
    <t>Any redistribution of this software must retain the following disclaimer:</t>
  </si>
  <si>
    <t>THIS SOFTWARE IS PROVIDED BY AUTHORS AND CONTRIBUTORS "AS IS" AND ANY EXPRESS OR IMPLIED WARRANTIES, INCLUDING, BUT NOT LIMITED TO, THE IMPLIED</t>
  </si>
  <si>
    <t>WARRANTIES OF MERCHANTABILITY AND FITNESS FOR A PARTICULAR PURPOSE ARE DISCLAIMED. IN NO EVENT SHALL AUTHORS OR CONTRIBUTORS BE LIABLE FOR ANY DIRECT,</t>
  </si>
  <si>
    <t>INDIRECT, INCIDENTAL, SPECIAL, EXEMPLARY, OR CONSEQUENTIAL DAMAGES (INCLUDING, BUT NOT LIMITED TO, PROCUREMENT OF SUBSTITUTE GOODS OR SERVICES; LOSS</t>
  </si>
  <si>
    <t>OF USE, DATA, OR PROFITS; OR BUSINESS INTERRUPTION) HOWEVER CAUSED AND ON ANY THEORY OF LIABILITY, WHETHER IN CONTRACT, STRICT LIABILITY, OR TORT</t>
  </si>
  <si>
    <t>(INCLUDING NEGLIGENCE OR OTHERWISE) ARISING IN ANY WAY OUT OF THE USE OF THIS SOFTWARE, EVEN IF ADVISED OF THE POSSIBILITY OF SUCH DAMAGE.</t>
  </si>
  <si>
    <t>List of data tables</t>
  </si>
  <si>
    <t>Worksheet</t>
  </si>
  <si>
    <t>Data table</t>
  </si>
  <si>
    <t>Type of table</t>
  </si>
  <si>
    <t>Input</t>
  </si>
  <si>
    <t>Composite</t>
  </si>
  <si>
    <t>LAFs</t>
  </si>
  <si>
    <t>DRM</t>
  </si>
  <si>
    <t>SM</t>
  </si>
  <si>
    <t>Loads</t>
  </si>
  <si>
    <t>Multi</t>
  </si>
  <si>
    <t>Reshape table</t>
  </si>
  <si>
    <t>SMD</t>
  </si>
  <si>
    <t>AMD</t>
  </si>
  <si>
    <t>Otex</t>
  </si>
  <si>
    <t>Contrib</t>
  </si>
  <si>
    <t>Yard</t>
  </si>
  <si>
    <t>Standing</t>
  </si>
  <si>
    <t>NHH</t>
  </si>
  <si>
    <t>Reactive</t>
  </si>
  <si>
    <t>Aggreg</t>
  </si>
  <si>
    <t>Revenue</t>
  </si>
  <si>
    <t>Adjust</t>
  </si>
  <si>
    <t>Tariffs</t>
  </si>
  <si>
    <t>Summary</t>
  </si>
  <si>
    <t>M-Rev</t>
  </si>
  <si>
    <t>CData</t>
  </si>
  <si>
    <t>CTables</t>
  </si>
  <si>
    <t>Tariff matrices</t>
  </si>
  <si>
    <t>Notes</t>
  </si>
  <si>
    <t>M-ATW</t>
  </si>
  <si>
    <t>Technical notes, configuration and code identification</t>
  </si>
  <si>
    <t>---</t>
  </si>
  <si>
    <t>PerlModule: CDCM</t>
  </si>
  <si>
    <t>coincidenceAdj: groupums</t>
  </si>
  <si>
    <t>colour: orange</t>
  </si>
  <si>
    <t>drm: top500gsp</t>
  </si>
  <si>
    <t>extraLevels: 1</t>
  </si>
  <si>
    <t>inputData: dataSheet</t>
  </si>
  <si>
    <t>matrices: big</t>
  </si>
  <si>
    <t>noReplacement: blanket</t>
  </si>
  <si>
    <t>pcd: 1</t>
  </si>
  <si>
    <t>portfolio: 1</t>
  </si>
  <si>
    <t>protect: 1</t>
  </si>
  <si>
    <t>revisionText: r6432</t>
  </si>
  <si>
    <t>scaler: dcp123hybridadder</t>
  </si>
  <si>
    <t>standing: sub132</t>
  </si>
  <si>
    <t>summary: consultation</t>
  </si>
  <si>
    <t>targetRevenue: dcp132</t>
  </si>
  <si>
    <t>tariffs: commongensubdcp130dcp163</t>
  </si>
  <si>
    <t>template: '%-dcp123hybridctables+'</t>
  </si>
  <si>
    <t>timeOfDay: timeOfDaySpecial</t>
  </si>
  <si>
    <t>validation: lenientnomsg</t>
  </si>
  <si>
    <t>'~codeValidation':</t>
  </si>
  <si>
    <t xml:space="preserve">  Ancillary/Validation.pm: 3654bbaa7b87feb68586bd73ec7cf260a709c477</t>
  </si>
  <si>
    <t xml:space="preserve">  CDCM/AML.pm: ee8a67f3b746fb3d1151846220afbb5b45e235d4</t>
  </si>
  <si>
    <t xml:space="preserve">  CDCM/Aggregation.pm: 4472877782bf9e84c66fc7d3292cbc305617d8b1</t>
  </si>
  <si>
    <t xml:space="preserve">  CDCM/Contributions.pm: 2f31246642588d289e13d0aea0f8c2cf61eb4d3b</t>
  </si>
  <si>
    <t xml:space="preserve">  CDCM/Loads.pm: 83f0ec5251a230358df1a9ffdee0b4ab943853a9</t>
  </si>
  <si>
    <t xml:space="preserve">  CDCM/Master.pm: 10eff56398895b8ff4fd76548c6c8554d2dc3afa</t>
  </si>
  <si>
    <t xml:space="preserve">  CDCM/Matching.pm: d81128fb35c766acb5a3e9e89aaa4b595f9fe402</t>
  </si>
  <si>
    <t xml:space="preserve">  CDCM/Matching123.pm: 0dae41bcd6618769eb761b9e8574b054e3dd0d22</t>
  </si>
  <si>
    <t xml:space="preserve">  CDCM/NetworkSizer.pm: bdf602ddce9e7d22fac359a83148d17e075c71f0</t>
  </si>
  <si>
    <t xml:space="preserve">  CDCM/Operating.pm: 44208c4912d7cd552726cce14284999a3a0b5a30</t>
  </si>
  <si>
    <t xml:space="preserve">  CDCM/Reactive.pm: 123211c1681680ec6c0f32291329f042a5d38160</t>
  </si>
  <si>
    <t xml:space="preserve">  CDCM/Revenue.pm: 5ac88d48b3f27e3bcfe429b76e902aad6c9a8ded</t>
  </si>
  <si>
    <t xml:space="preserve">  CDCM/Routeing.pm: 0e5e62f069ad2d08e090ef489b6d38832fd2fb02</t>
  </si>
  <si>
    <t xml:space="preserve">  CDCM/SML.pm: 9a59ad5be0f50b659561a33cd43b28b764d8f07d</t>
  </si>
  <si>
    <t xml:space="preserve">  CDCM/ServiceModels.pm: f00bf237abf463d5f9f18bfa6013bcc412d749df</t>
  </si>
  <si>
    <t xml:space="preserve">  CDCM/Setup.pm: b54690e66166bcd6c403e199d9db536713bae46b</t>
  </si>
  <si>
    <t xml:space="preserve">  CDCM/Sheets.pm: ca6fe2c5e9cad79e0dd3f8a24f9db72f655dd4fd</t>
  </si>
  <si>
    <t xml:space="preserve">  CDCM/Standing.pm: df5daee9e7c80401b0043ad402d14c8f72e1615a</t>
  </si>
  <si>
    <t xml:space="preserve">  CDCM/Summary.pm: 1eccb192ac89b85a44781e29819a44bd2b181834</t>
  </si>
  <si>
    <t xml:space="preserve">  CDCM/Table1001.pm: 0bce133d49de5a9547a03adcf8642b0120a8b373</t>
  </si>
  <si>
    <t xml:space="preserve">  CDCM/TariffList.pm: 1638ce82fc50ab85d05113f8b21f6afbeed37c7f</t>
  </si>
  <si>
    <t xml:space="preserve">  CDCM/Tariffs.pm: 8050f59a1a368909e901eb609906d38b8c96674c</t>
  </si>
  <si>
    <t xml:space="preserve">  CDCM/TimeOfDay.pm: ef933e27c171de4813bdd9271d8e9b321255cb5c</t>
  </si>
  <si>
    <t xml:space="preserve">  CDCM/TimeOfDaySpecial.pm: 2518306526ad24cd1892423e7c1fa93873f117d3</t>
  </si>
  <si>
    <t xml:space="preserve">  CDCM/Yardsticks.pm: 1b0fcc22094667a2fa5dd6d31ffa4f4f6394bd31</t>
  </si>
  <si>
    <t xml:space="preserve">  SpreadsheetModel/Arithmetic.pm: 670ae75296cec7af2e634ed927328908a52d5f67</t>
  </si>
  <si>
    <t xml:space="preserve">  SpreadsheetModel/Columnset.pm: 4d45f1f3a295aae737c05e92ef90e041bb0e1cec</t>
  </si>
  <si>
    <t xml:space="preserve">  SpreadsheetModel/Custom.pm: ba775a3f973deebb6f66fb33b97e32847a1700ad</t>
  </si>
  <si>
    <t xml:space="preserve">  SpreadsheetModel/Dataset.pm: 230f519ea5605012627456643c1fa3267daac03c</t>
  </si>
  <si>
    <t xml:space="preserve">  SpreadsheetModel/GroupBy.pm: 289df4c58bbfea7cee8fbc376fa82bb2c266eeff</t>
  </si>
  <si>
    <t xml:space="preserve">  SpreadsheetModel/Label.pm: 053d8801da63a168d467ae3cf12c6c32325befe3</t>
  </si>
  <si>
    <t xml:space="preserve">  SpreadsheetModel/Labelset.pm: 9ac999149c79c639b786029d804b610cb9fc0af9</t>
  </si>
  <si>
    <t xml:space="preserve">  SpreadsheetModel/Logger.pm: a6f3198e56f5877e30b62cc047611c03350dba01</t>
  </si>
  <si>
    <t xml:space="preserve">  SpreadsheetModel/Notes.pm: 3aa0785b624198b8b6988267744e80842c757883</t>
  </si>
  <si>
    <t xml:space="preserve">  SpreadsheetModel/Object.pm: 3364cbb0498753ec3901d2b29d25b04b5d9da009</t>
  </si>
  <si>
    <t xml:space="preserve">  SpreadsheetModel/Reshape.pm: db327684ed6c50c3084959ea625b473eb287e3c8</t>
  </si>
  <si>
    <t xml:space="preserve">  SpreadsheetModel/SegmentRoot.pm: ecdfe570dcb673e31228edd1da3569cc1140a6a7</t>
  </si>
  <si>
    <t xml:space="preserve">  SpreadsheetModel/Shortcuts.pm: 81b68efc70dd2263c3478f3ce3269cf6ebb3ee8b</t>
  </si>
  <si>
    <t xml:space="preserve">  SpreadsheetModel/Stack.pm: 757c731ccef3cd72dc951699ff98fb1077369be9</t>
  </si>
  <si>
    <t xml:space="preserve">  SpreadsheetModel/SumProduct.pm: 25580363232a65f6bf14f9c3c5941af65abcfea7</t>
  </si>
  <si>
    <t xml:space="preserve">  SpreadsheetModel/WorkbookCreate.pm: f34f3976df1d3a3024ef53ed0e5ef104e22543c7</t>
  </si>
  <si>
    <t xml:space="preserve">  SpreadsheetModel/WorkbookFormats.pm: 719330a80e943d14a8248d5bdb8e25f1b718b887</t>
  </si>
  <si>
    <t xml:space="preserve">  SpreadsheetModel/WorkbookXLSX.pm: 942f35791f0a6568f635ed9ea71c23d60718de41</t>
  </si>
  <si>
    <t>'~datasetName': Blank1001</t>
  </si>
  <si>
    <t>'~datasetSource':</t>
  </si>
  <si>
    <t xml:space="preserve">  file: CDCM/Current/Blank1001.yml</t>
  </si>
  <si>
    <t xml:space="preserve">  validation: no file</t>
  </si>
  <si>
    <t>Generated on Tue 11 Feb 2014 17:06:56 by dcmf.co.uk</t>
  </si>
</sst>
</file>

<file path=xl/styles.xml><?xml version="1.0" encoding="utf-8"?>
<styleSheet xmlns="http://schemas.openxmlformats.org/spreadsheetml/2006/main">
  <numFmts count="10">
    <numFmt numFmtId="164" formatCode="@"/>
    <numFmt numFmtId="164" formatCode="@"/>
    <numFmt numFmtId="164" formatCode="@"/>
    <numFmt numFmtId="165" formatCode=" _(???,???,??0.000_);[Red] (???,???,??0.000);;@"/>
    <numFmt numFmtId="165" formatCode=" _(???,???,??0.000_);[Red] (???,???,??0.000);;@"/>
    <numFmt numFmtId="165" formatCode=" _(???,???,??0.000_);[Red] (???,???,??0.000);;@"/>
    <numFmt numFmtId="165" formatCode=" _(???,???,??0.000_);[Red] (???,???,??0.000);;@"/>
    <numFmt numFmtId="166" formatCode="0.000;-0.000;;@"/>
    <numFmt numFmtId="166" formatCode="0.000;-0.000;;@"/>
    <numFmt numFmtId="164" formatCode="@"/>
    <numFmt numFmtId="164" formatCode="@"/>
    <numFmt numFmtId="164" formatCode="@"/>
    <numFmt numFmtId="164" formatCode="@"/>
    <numFmt numFmtId="164" formatCode="@"/>
    <numFmt numFmtId="167" formatCode=" _(???,???,??0_);[Red] (???,???,??0);;@"/>
    <numFmt numFmtId="167" formatCode=" _(???,???,??0_);[Red] (???,???,??0);;@"/>
    <numFmt numFmtId="164" formatCode="@"/>
    <numFmt numFmtId="164" formatCode="@"/>
    <numFmt numFmtId="167" formatCode=" _(???,???,??0_);[Red] (???,???,??0);;@"/>
    <numFmt numFmtId="168" formatCode=" _(??0.0%_);[Red] (??0.0%);;@"/>
    <numFmt numFmtId="164" formatCode="@"/>
    <numFmt numFmtId="169" formatCode=" _(???,???,??0.0_);[Red] (???,???,??0.0);;@"/>
    <numFmt numFmtId="164" formatCode="@"/>
    <numFmt numFmtId="164" formatCode="@"/>
    <numFmt numFmtId="164" formatCode="@"/>
    <numFmt numFmtId="167" formatCode=" _(???,???,??0_);[Red] (???,???,??0);;@"/>
    <numFmt numFmtId="168" formatCode=" _(??0.0%_);[Red] (??0.0%);;@"/>
    <numFmt numFmtId="168" formatCode=" _(??0.0%_);[Red] (??0.0%);;@"/>
    <numFmt numFmtId="168" formatCode=" _(??0.0%_);[Red] (??0.0%);;@"/>
    <numFmt numFmtId="169" formatCode=" _(???,???,??0.0_);[Red] (???,???,??0.0);;@"/>
    <numFmt numFmtId="167" formatCode=" _(???,???,??0_);[Red] (???,???,??0);;@"/>
    <numFmt numFmtId="170" formatCode=" _(???,???,??0.00000_);[Red] (???,???,??0.00000);;@"/>
    <numFmt numFmtId="171" formatCode=" _(???,???,??0.00_);[Red] (???,???,??0.00);;@"/>
    <numFmt numFmtId="164" formatCode="@"/>
    <numFmt numFmtId="171" formatCode=" _(???,???,??0.00_);[Red] (???,???,??0.00);;@"/>
    <numFmt numFmtId="172" formatCode="[Blue]_-+????0.0%;[Red]_+-????0.0%;[Green]=;@"/>
    <numFmt numFmtId="173" formatCode="[Blue]_-+?0.000;[Red]_+-?0.000;[Green]=;@"/>
  </numFmts>
  <fonts count="6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</fills>
  <borders count="3">
    <border>
      <left/>
      <right/>
      <top/>
      <bottom/>
      <diagonal/>
    </border>
    <border>
      <left/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 vertical="center"/>
    </xf>
    <xf numFmtId="164" fontId="2" fillId="2" borderId="0" xfId="0" applyNumberFormat="1" applyFont="1" applyFill="1" applyAlignment="1">
      <alignment horizontal="center" vertical="center" wrapText="1"/>
    </xf>
    <xf numFmtId="165" fontId="0" fillId="3" borderId="0" xfId="0" applyNumberFormat="1" applyFill="1" applyAlignment="1" applyProtection="1">
      <alignment horizontal="center" vertical="center"/>
      <protection locked="0"/>
    </xf>
    <xf numFmtId="165" fontId="0" fillId="4" borderId="0" xfId="0" applyNumberFormat="1" applyFill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165" fontId="0" fillId="6" borderId="0" xfId="0" applyNumberFormat="1" applyFill="1" applyAlignment="1">
      <alignment horizontal="center" vertical="center"/>
    </xf>
    <xf numFmtId="166" fontId="0" fillId="7" borderId="0" xfId="0" applyNumberFormat="1" applyFill="1" applyAlignment="1" applyProtection="1">
      <alignment horizontal="center" vertical="center"/>
      <protection locked="0"/>
    </xf>
    <xf numFmtId="166" fontId="0" fillId="8" borderId="0" xfId="0" applyNumberFormat="1" applyFill="1" applyAlignment="1">
      <alignment horizontal="center" vertical="center"/>
    </xf>
    <xf numFmtId="0" fontId="3" fillId="0" borderId="1" xfId="0" applyFont="1" applyBorder="1" applyAlignment="1" applyProtection="1">
      <alignment vertical="center"/>
      <protection locked="0"/>
    </xf>
    <xf numFmtId="164" fontId="2" fillId="2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Alignment="1">
      <alignment horizontal="left" vertical="center"/>
    </xf>
    <xf numFmtId="164" fontId="0" fillId="3" borderId="0" xfId="0" applyNumberFormat="1" applyFill="1" applyAlignment="1" applyProtection="1">
      <alignment horizontal="left" vertical="center" wrapText="1"/>
      <protection locked="0"/>
    </xf>
    <xf numFmtId="164" fontId="0" fillId="0" borderId="0" xfId="0" applyNumberFormat="1" applyAlignment="1" applyProtection="1">
      <alignment horizontal="left" vertical="center" wrapText="1"/>
      <protection locked="0"/>
    </xf>
    <xf numFmtId="164" fontId="0" fillId="0" borderId="0" xfId="0" applyNumberFormat="1" applyAlignment="1" applyProtection="1">
      <alignment horizontal="center" vertical="center" wrapText="1"/>
      <protection locked="0"/>
    </xf>
    <xf numFmtId="167" fontId="0" fillId="3" borderId="0" xfId="0" applyNumberFormat="1" applyFill="1" applyAlignment="1" applyProtection="1">
      <alignment horizontal="center" vertical="center"/>
      <protection locked="0"/>
    </xf>
    <xf numFmtId="167" fontId="0" fillId="5" borderId="0" xfId="0" applyNumberFormat="1" applyFill="1" applyAlignment="1">
      <alignment horizontal="center" vertical="center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167" fontId="2" fillId="5" borderId="0" xfId="0" applyNumberFormat="1" applyFont="1" applyFill="1" applyAlignment="1">
      <alignment horizontal="center" vertical="center"/>
    </xf>
    <xf numFmtId="168" fontId="0" fillId="3" borderId="0" xfId="0" applyNumberFormat="1" applyFill="1" applyAlignment="1" applyProtection="1">
      <alignment horizontal="center" vertical="center"/>
      <protection locked="0"/>
    </xf>
    <xf numFmtId="164" fontId="5" fillId="2" borderId="0" xfId="0" applyNumberFormat="1" applyFont="1" applyFill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169" fontId="0" fillId="3" borderId="0" xfId="0" applyNumberFormat="1" applyFill="1" applyAlignment="1" applyProtection="1">
      <alignment horizontal="center" vertical="center"/>
      <protection locked="0"/>
    </xf>
    <xf numFmtId="164" fontId="5" fillId="2" borderId="2" xfId="0" applyNumberFormat="1" applyFont="1" applyFill="1" applyBorder="1" applyAlignment="1">
      <alignment horizontal="centerContinuous" vertical="center" wrapText="1"/>
    </xf>
    <xf numFmtId="164" fontId="0" fillId="0" borderId="2" xfId="0" applyNumberFormat="1" applyBorder="1" applyAlignment="1">
      <alignment horizontal="centerContinuous" vertical="center" wrapText="1"/>
    </xf>
    <xf numFmtId="164" fontId="5" fillId="2" borderId="0" xfId="0" applyNumberFormat="1" applyFont="1" applyFill="1" applyAlignment="1">
      <alignment horizontal="left" vertical="center"/>
    </xf>
    <xf numFmtId="167" fontId="0" fillId="4" borderId="0" xfId="0" applyNumberFormat="1" applyFill="1" applyAlignment="1">
      <alignment horizontal="center" vertical="center"/>
    </xf>
    <xf numFmtId="168" fontId="0" fillId="5" borderId="0" xfId="0" applyNumberFormat="1" applyFill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8" fontId="0" fillId="6" borderId="0" xfId="0" applyNumberFormat="1" applyFill="1" applyAlignment="1">
      <alignment horizontal="center" vertical="center"/>
    </xf>
    <xf numFmtId="169" fontId="0" fillId="5" borderId="0" xfId="0" applyNumberFormat="1" applyFill="1" applyAlignment="1">
      <alignment horizontal="center" vertical="center"/>
    </xf>
    <xf numFmtId="167" fontId="0" fillId="6" borderId="0" xfId="0" applyNumberFormat="1" applyFill="1" applyAlignment="1">
      <alignment horizontal="center" vertical="center"/>
    </xf>
    <xf numFmtId="170" fontId="0" fillId="5" borderId="0" xfId="0" applyNumberFormat="1" applyFill="1" applyAlignment="1">
      <alignment horizontal="center" vertical="center"/>
    </xf>
    <xf numFmtId="171" fontId="0" fillId="5" borderId="0" xfId="0" applyNumberFormat="1" applyFill="1" applyAlignment="1">
      <alignment horizontal="center" vertical="center"/>
    </xf>
    <xf numFmtId="164" fontId="0" fillId="4" borderId="0" xfId="0" applyNumberFormat="1" applyFill="1" applyAlignment="1">
      <alignment horizontal="left" vertical="center" wrapText="1"/>
    </xf>
    <xf numFmtId="171" fontId="0" fillId="6" borderId="0" xfId="0" applyNumberFormat="1" applyFill="1" applyAlignment="1">
      <alignment horizontal="center" vertical="center"/>
    </xf>
    <xf numFmtId="172" fontId="0" fillId="5" borderId="0" xfId="0" applyNumberFormat="1" applyFill="1" applyAlignment="1">
      <alignment horizontal="center" vertical="center"/>
    </xf>
    <xf numFmtId="173" fontId="0" fillId="5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theme" Target="theme/theme1.xml" /><Relationship Id="rId27" Type="http://schemas.openxmlformats.org/officeDocument/2006/relationships/styles" Target="styles.xml" /><Relationship Id="rId28" Type="http://schemas.openxmlformats.org/officeDocument/2006/relationships/sharedStrings" Target="sharedStrings.xml" />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1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30.7109375" customWidth="1"/>
    <col min="2" max="2" width="120.7109375" customWidth="1"/>
    <col min="3" max="251" width="30.7109375" customWidth="1"/>
  </cols>
  <sheetData>
    <row r="1" spans="1:3">
      <c r="A1" s="1">
        <f>"Overview"&amp;" for "&amp;'Input'!B7&amp;" in "&amp;'Input'!C7&amp;" ("&amp;'Input'!D7&amp;")"</f>
        <v>0</v>
      </c>
    </row>
    <row r="2" spans="1:3">
      <c r="A2" s="2"/>
    </row>
    <row r="3" spans="1:3">
      <c r="A3" s="2" t="s">
        <v>1709</v>
      </c>
      <c r="C3" s="3" t="s">
        <v>1721</v>
      </c>
    </row>
    <row r="4" spans="1:3">
      <c r="A4" s="2" t="s">
        <v>1710</v>
      </c>
      <c r="C4" s="4" t="s">
        <v>1494</v>
      </c>
    </row>
    <row r="5" spans="1:3">
      <c r="A5" s="2" t="s">
        <v>1711</v>
      </c>
      <c r="C5" s="5" t="s">
        <v>1722</v>
      </c>
    </row>
    <row r="6" spans="1:3">
      <c r="A6" s="2" t="s">
        <v>1712</v>
      </c>
      <c r="C6" s="6" t="s">
        <v>1723</v>
      </c>
    </row>
    <row r="7" spans="1:3">
      <c r="A7" s="2"/>
      <c r="C7" s="7" t="s">
        <v>1724</v>
      </c>
    </row>
    <row r="8" spans="1:3">
      <c r="A8" s="2" t="s">
        <v>1713</v>
      </c>
      <c r="C8" s="8" t="s">
        <v>1725</v>
      </c>
    </row>
    <row r="9" spans="1:3">
      <c r="A9" s="2" t="s">
        <v>1714</v>
      </c>
      <c r="C9" s="9" t="s">
        <v>1726</v>
      </c>
    </row>
    <row r="10" spans="1:3">
      <c r="A10" s="2"/>
      <c r="C10" s="10" t="s">
        <v>1727</v>
      </c>
    </row>
    <row r="11" spans="1:3">
      <c r="A11" s="2" t="s">
        <v>1715</v>
      </c>
    </row>
    <row r="12" spans="1:3">
      <c r="A12" s="2" t="s">
        <v>1716</v>
      </c>
    </row>
    <row r="13" spans="1:3">
      <c r="A13" s="2" t="s">
        <v>1717</v>
      </c>
    </row>
    <row r="14" spans="1:3">
      <c r="A14" s="2" t="s">
        <v>1718</v>
      </c>
    </row>
    <row r="15" spans="1:3">
      <c r="A15" s="2" t="s">
        <v>1719</v>
      </c>
    </row>
    <row r="16" spans="1:3">
      <c r="A16" s="2" t="s">
        <v>1720</v>
      </c>
    </row>
    <row r="18" spans="1:3">
      <c r="A18" s="2" t="s">
        <v>1728</v>
      </c>
    </row>
    <row r="19" spans="1:3">
      <c r="A19" s="2" t="s">
        <v>1729</v>
      </c>
    </row>
    <row r="20" spans="1:3">
      <c r="A20" s="2" t="s">
        <v>1730</v>
      </c>
    </row>
    <row r="21" spans="1:3">
      <c r="A21" s="2" t="s">
        <v>1731</v>
      </c>
    </row>
    <row r="22" spans="1:3">
      <c r="A22" s="2" t="s">
        <v>1732</v>
      </c>
    </row>
    <row r="23" spans="1:3">
      <c r="A23" s="2" t="s">
        <v>1733</v>
      </c>
    </row>
    <row r="24" spans="1:3">
      <c r="A24" s="2" t="s">
        <v>1734</v>
      </c>
    </row>
    <row r="25" spans="1:3">
      <c r="A25" s="2" t="s">
        <v>1735</v>
      </c>
    </row>
    <row r="26" spans="1:3">
      <c r="A26" s="2" t="s">
        <v>1736</v>
      </c>
    </row>
    <row r="28" spans="1:3">
      <c r="A28" s="1" t="s">
        <v>1737</v>
      </c>
    </row>
    <row r="29" spans="1:3">
      <c r="A29" s="11" t="s">
        <v>1738</v>
      </c>
      <c r="B29" s="11" t="s">
        <v>1739</v>
      </c>
      <c r="C29" s="11" t="s">
        <v>1740</v>
      </c>
    </row>
    <row r="30" spans="1:3">
      <c r="A30" s="2" t="s">
        <v>1741</v>
      </c>
      <c r="B30" s="12" t="s">
        <v>0</v>
      </c>
      <c r="C30" s="2" t="s">
        <v>1494</v>
      </c>
    </row>
    <row r="31" spans="1:3">
      <c r="A31" s="2" t="s">
        <v>1741</v>
      </c>
      <c r="B31" s="12" t="s">
        <v>6</v>
      </c>
      <c r="C31" s="2" t="s">
        <v>1742</v>
      </c>
    </row>
    <row r="32" spans="1:3">
      <c r="A32" s="2" t="s">
        <v>1741</v>
      </c>
      <c r="B32" s="12" t="s">
        <v>124</v>
      </c>
      <c r="C32" s="2" t="s">
        <v>1742</v>
      </c>
    </row>
    <row r="33" spans="1:3">
      <c r="A33" s="2" t="s">
        <v>1741</v>
      </c>
      <c r="B33" s="12" t="s">
        <v>133</v>
      </c>
      <c r="C33" s="2" t="s">
        <v>1494</v>
      </c>
    </row>
    <row r="34" spans="1:3">
      <c r="A34" s="2" t="s">
        <v>1741</v>
      </c>
      <c r="B34" s="12" t="s">
        <v>148</v>
      </c>
      <c r="C34" s="2" t="s">
        <v>1494</v>
      </c>
    </row>
    <row r="35" spans="1:3">
      <c r="A35" s="2" t="s">
        <v>1741</v>
      </c>
      <c r="B35" s="12" t="s">
        <v>150</v>
      </c>
      <c r="C35" s="2" t="s">
        <v>1494</v>
      </c>
    </row>
    <row r="36" spans="1:3">
      <c r="A36" s="2" t="s">
        <v>1741</v>
      </c>
      <c r="B36" s="12" t="s">
        <v>152</v>
      </c>
      <c r="C36" s="2" t="s">
        <v>1494</v>
      </c>
    </row>
    <row r="37" spans="1:3">
      <c r="A37" s="2" t="s">
        <v>1741</v>
      </c>
      <c r="B37" s="12" t="s">
        <v>154</v>
      </c>
      <c r="C37" s="2" t="s">
        <v>1494</v>
      </c>
    </row>
    <row r="38" spans="1:3">
      <c r="A38" s="2" t="s">
        <v>1741</v>
      </c>
      <c r="B38" s="12" t="s">
        <v>164</v>
      </c>
      <c r="C38" s="2" t="s">
        <v>1494</v>
      </c>
    </row>
    <row r="39" spans="1:3">
      <c r="A39" s="2" t="s">
        <v>1741</v>
      </c>
      <c r="B39" s="12" t="s">
        <v>171</v>
      </c>
      <c r="C39" s="2" t="s">
        <v>1494</v>
      </c>
    </row>
    <row r="40" spans="1:3">
      <c r="A40" s="2" t="s">
        <v>1741</v>
      </c>
      <c r="B40" s="12" t="s">
        <v>186</v>
      </c>
      <c r="C40" s="2" t="s">
        <v>1494</v>
      </c>
    </row>
    <row r="41" spans="1:3">
      <c r="A41" s="2" t="s">
        <v>1741</v>
      </c>
      <c r="B41" s="12" t="s">
        <v>190</v>
      </c>
      <c r="C41" s="2" t="s">
        <v>1494</v>
      </c>
    </row>
    <row r="42" spans="1:3">
      <c r="A42" s="2" t="s">
        <v>1741</v>
      </c>
      <c r="B42" s="12" t="s">
        <v>195</v>
      </c>
      <c r="C42" s="2" t="s">
        <v>1494</v>
      </c>
    </row>
    <row r="43" spans="1:3">
      <c r="A43" s="2" t="s">
        <v>1741</v>
      </c>
      <c r="B43" s="12" t="s">
        <v>198</v>
      </c>
      <c r="C43" s="2" t="s">
        <v>1494</v>
      </c>
    </row>
    <row r="44" spans="1:3">
      <c r="A44" s="2" t="s">
        <v>1741</v>
      </c>
      <c r="B44" s="12" t="s">
        <v>206</v>
      </c>
      <c r="C44" s="2" t="s">
        <v>1494</v>
      </c>
    </row>
    <row r="45" spans="1:3">
      <c r="A45" s="2" t="s">
        <v>1741</v>
      </c>
      <c r="B45" s="12" t="s">
        <v>217</v>
      </c>
      <c r="C45" s="2" t="s">
        <v>1494</v>
      </c>
    </row>
    <row r="46" spans="1:3">
      <c r="A46" s="2" t="s">
        <v>1741</v>
      </c>
      <c r="B46" s="12" t="s">
        <v>291</v>
      </c>
      <c r="C46" s="2" t="s">
        <v>1494</v>
      </c>
    </row>
    <row r="47" spans="1:3">
      <c r="A47" s="2" t="s">
        <v>1741</v>
      </c>
      <c r="B47" s="12" t="s">
        <v>294</v>
      </c>
      <c r="C47" s="2" t="s">
        <v>1494</v>
      </c>
    </row>
    <row r="48" spans="1:3">
      <c r="A48" s="2" t="s">
        <v>1741</v>
      </c>
      <c r="B48" s="12" t="s">
        <v>300</v>
      </c>
      <c r="C48" s="2" t="s">
        <v>1494</v>
      </c>
    </row>
    <row r="49" spans="1:3">
      <c r="A49" s="2" t="s">
        <v>1741</v>
      </c>
      <c r="B49" s="12" t="s">
        <v>316</v>
      </c>
      <c r="C49" s="2" t="s">
        <v>1494</v>
      </c>
    </row>
    <row r="50" spans="1:3">
      <c r="A50" s="2" t="s">
        <v>1741</v>
      </c>
      <c r="B50" s="12" t="s">
        <v>320</v>
      </c>
      <c r="C50" s="2" t="s">
        <v>1494</v>
      </c>
    </row>
    <row r="51" spans="1:3">
      <c r="A51" s="2" t="s">
        <v>1741</v>
      </c>
      <c r="B51" s="12" t="s">
        <v>321</v>
      </c>
      <c r="C51" s="2" t="s">
        <v>1494</v>
      </c>
    </row>
    <row r="52" spans="1:3">
      <c r="A52" s="2" t="s">
        <v>1741</v>
      </c>
      <c r="B52" s="12" t="s">
        <v>324</v>
      </c>
      <c r="C52" s="2" t="s">
        <v>1494</v>
      </c>
    </row>
    <row r="53" spans="1:3">
      <c r="A53" s="2" t="s">
        <v>1741</v>
      </c>
      <c r="B53" s="12" t="s">
        <v>328</v>
      </c>
      <c r="C53" s="2" t="s">
        <v>1494</v>
      </c>
    </row>
    <row r="54" spans="1:3">
      <c r="A54" s="2" t="s">
        <v>1741</v>
      </c>
      <c r="B54" s="12" t="s">
        <v>329</v>
      </c>
      <c r="C54" s="2" t="s">
        <v>1494</v>
      </c>
    </row>
    <row r="55" spans="1:3">
      <c r="A55" s="2" t="s">
        <v>1741</v>
      </c>
      <c r="B55" s="12" t="s">
        <v>333</v>
      </c>
      <c r="C55" s="2" t="s">
        <v>1494</v>
      </c>
    </row>
    <row r="56" spans="1:3">
      <c r="A56" s="2" t="s">
        <v>1741</v>
      </c>
      <c r="B56" s="12" t="s">
        <v>337</v>
      </c>
      <c r="C56" s="2" t="s">
        <v>1494</v>
      </c>
    </row>
    <row r="57" spans="1:3">
      <c r="A57" s="2" t="s">
        <v>1743</v>
      </c>
      <c r="B57" s="12" t="s">
        <v>348</v>
      </c>
      <c r="C57" s="2" t="s">
        <v>1742</v>
      </c>
    </row>
    <row r="58" spans="1:3">
      <c r="A58" s="2" t="s">
        <v>1743</v>
      </c>
      <c r="B58" s="12" t="s">
        <v>359</v>
      </c>
      <c r="C58" s="2" t="s">
        <v>353</v>
      </c>
    </row>
    <row r="59" spans="1:3">
      <c r="A59" s="2" t="s">
        <v>1743</v>
      </c>
      <c r="B59" s="12" t="s">
        <v>360</v>
      </c>
      <c r="C59" s="2" t="s">
        <v>354</v>
      </c>
    </row>
    <row r="60" spans="1:3">
      <c r="A60" s="2" t="s">
        <v>1743</v>
      </c>
      <c r="B60" s="12" t="s">
        <v>364</v>
      </c>
      <c r="C60" s="2" t="s">
        <v>516</v>
      </c>
    </row>
    <row r="61" spans="1:3">
      <c r="A61" s="2" t="s">
        <v>1743</v>
      </c>
      <c r="B61" s="12" t="s">
        <v>369</v>
      </c>
      <c r="C61" s="2" t="s">
        <v>353</v>
      </c>
    </row>
    <row r="62" spans="1:3">
      <c r="A62" s="2" t="s">
        <v>1743</v>
      </c>
      <c r="B62" s="12" t="s">
        <v>373</v>
      </c>
      <c r="C62" s="2" t="s">
        <v>482</v>
      </c>
    </row>
    <row r="63" spans="1:3">
      <c r="A63" s="2" t="s">
        <v>1743</v>
      </c>
      <c r="B63" s="12" t="s">
        <v>376</v>
      </c>
      <c r="C63" s="2" t="s">
        <v>482</v>
      </c>
    </row>
    <row r="64" spans="1:3">
      <c r="A64" s="2" t="s">
        <v>1743</v>
      </c>
      <c r="B64" s="12" t="s">
        <v>377</v>
      </c>
      <c r="C64" s="2" t="s">
        <v>482</v>
      </c>
    </row>
    <row r="65" spans="1:3">
      <c r="A65" s="2" t="s">
        <v>1743</v>
      </c>
      <c r="B65" s="12" t="s">
        <v>378</v>
      </c>
      <c r="C65" s="2" t="s">
        <v>516</v>
      </c>
    </row>
    <row r="66" spans="1:3">
      <c r="A66" s="2" t="s">
        <v>1743</v>
      </c>
      <c r="B66" s="12" t="s">
        <v>385</v>
      </c>
      <c r="C66" s="2" t="s">
        <v>354</v>
      </c>
    </row>
    <row r="67" spans="1:3">
      <c r="A67" s="2" t="s">
        <v>1743</v>
      </c>
      <c r="B67" s="12" t="s">
        <v>388</v>
      </c>
      <c r="C67" s="2" t="s">
        <v>516</v>
      </c>
    </row>
    <row r="68" spans="1:3">
      <c r="A68" s="2" t="s">
        <v>1743</v>
      </c>
      <c r="B68" s="12" t="s">
        <v>393</v>
      </c>
      <c r="C68" s="2" t="s">
        <v>482</v>
      </c>
    </row>
    <row r="69" spans="1:3">
      <c r="A69" s="2" t="s">
        <v>1744</v>
      </c>
      <c r="B69" s="12" t="s">
        <v>399</v>
      </c>
      <c r="C69" s="2" t="s">
        <v>482</v>
      </c>
    </row>
    <row r="70" spans="1:3">
      <c r="A70" s="2" t="s">
        <v>1744</v>
      </c>
      <c r="B70" s="12" t="s">
        <v>405</v>
      </c>
      <c r="C70" s="2" t="s">
        <v>516</v>
      </c>
    </row>
    <row r="71" spans="1:3">
      <c r="A71" s="2" t="s">
        <v>1744</v>
      </c>
      <c r="B71" s="12" t="s">
        <v>408</v>
      </c>
      <c r="C71" s="2" t="s">
        <v>1742</v>
      </c>
    </row>
    <row r="72" spans="1:3">
      <c r="A72" s="2" t="s">
        <v>1744</v>
      </c>
      <c r="B72" s="12" t="s">
        <v>417</v>
      </c>
      <c r="C72" s="2" t="s">
        <v>420</v>
      </c>
    </row>
    <row r="73" spans="1:3">
      <c r="A73" s="2" t="s">
        <v>1744</v>
      </c>
      <c r="B73" s="12" t="s">
        <v>426</v>
      </c>
      <c r="C73" s="2" t="s">
        <v>482</v>
      </c>
    </row>
    <row r="74" spans="1:3">
      <c r="A74" s="2" t="s">
        <v>1744</v>
      </c>
      <c r="B74" s="12" t="s">
        <v>431</v>
      </c>
      <c r="C74" s="2" t="s">
        <v>482</v>
      </c>
    </row>
    <row r="75" spans="1:3">
      <c r="A75" s="2" t="s">
        <v>1744</v>
      </c>
      <c r="B75" s="12" t="s">
        <v>437</v>
      </c>
      <c r="C75" s="2" t="s">
        <v>516</v>
      </c>
    </row>
    <row r="76" spans="1:3">
      <c r="A76" s="2" t="s">
        <v>1744</v>
      </c>
      <c r="B76" s="12" t="s">
        <v>439</v>
      </c>
      <c r="C76" s="2" t="s">
        <v>354</v>
      </c>
    </row>
    <row r="77" spans="1:3">
      <c r="A77" s="2" t="s">
        <v>1744</v>
      </c>
      <c r="B77" s="12" t="s">
        <v>443</v>
      </c>
      <c r="C77" s="2" t="s">
        <v>482</v>
      </c>
    </row>
    <row r="78" spans="1:3">
      <c r="A78" s="2" t="s">
        <v>1745</v>
      </c>
      <c r="B78" s="12" t="s">
        <v>458</v>
      </c>
      <c r="C78" s="2" t="s">
        <v>354</v>
      </c>
    </row>
    <row r="79" spans="1:3">
      <c r="A79" s="2" t="s">
        <v>1745</v>
      </c>
      <c r="B79" s="12" t="s">
        <v>462</v>
      </c>
      <c r="C79" s="2" t="s">
        <v>354</v>
      </c>
    </row>
    <row r="80" spans="1:3">
      <c r="A80" s="2" t="s">
        <v>1745</v>
      </c>
      <c r="B80" s="12" t="s">
        <v>465</v>
      </c>
      <c r="C80" s="2" t="s">
        <v>482</v>
      </c>
    </row>
    <row r="81" spans="1:3">
      <c r="A81" s="2" t="s">
        <v>1745</v>
      </c>
      <c r="B81" s="12" t="s">
        <v>470</v>
      </c>
      <c r="C81" s="2" t="s">
        <v>354</v>
      </c>
    </row>
    <row r="82" spans="1:3">
      <c r="A82" s="2" t="s">
        <v>1745</v>
      </c>
      <c r="B82" s="12" t="s">
        <v>474</v>
      </c>
      <c r="C82" s="2" t="s">
        <v>516</v>
      </c>
    </row>
    <row r="83" spans="1:3">
      <c r="A83" s="2" t="s">
        <v>1745</v>
      </c>
      <c r="B83" s="12" t="s">
        <v>477</v>
      </c>
      <c r="C83" s="2" t="s">
        <v>1742</v>
      </c>
    </row>
    <row r="84" spans="1:3">
      <c r="A84" s="2" t="s">
        <v>1746</v>
      </c>
      <c r="B84" s="12" t="s">
        <v>495</v>
      </c>
      <c r="C84" s="2" t="s">
        <v>482</v>
      </c>
    </row>
    <row r="85" spans="1:3">
      <c r="A85" s="2" t="s">
        <v>1746</v>
      </c>
      <c r="B85" s="12" t="s">
        <v>499</v>
      </c>
      <c r="C85" s="2" t="s">
        <v>516</v>
      </c>
    </row>
    <row r="86" spans="1:3">
      <c r="A86" s="2" t="s">
        <v>1746</v>
      </c>
      <c r="B86" s="12" t="s">
        <v>503</v>
      </c>
      <c r="C86" s="2" t="s">
        <v>353</v>
      </c>
    </row>
    <row r="87" spans="1:3">
      <c r="A87" s="2" t="s">
        <v>1746</v>
      </c>
      <c r="B87" s="12" t="s">
        <v>504</v>
      </c>
      <c r="C87" s="2" t="s">
        <v>1742</v>
      </c>
    </row>
    <row r="88" spans="1:3">
      <c r="A88" s="2" t="s">
        <v>1746</v>
      </c>
      <c r="B88" s="12" t="s">
        <v>526</v>
      </c>
      <c r="C88" s="2" t="s">
        <v>483</v>
      </c>
    </row>
    <row r="89" spans="1:3">
      <c r="A89" s="2" t="s">
        <v>1747</v>
      </c>
      <c r="B89" s="12" t="s">
        <v>538</v>
      </c>
      <c r="C89" s="2" t="s">
        <v>1742</v>
      </c>
    </row>
    <row r="90" spans="1:3">
      <c r="A90" s="2" t="s">
        <v>1747</v>
      </c>
      <c r="B90" s="12" t="s">
        <v>546</v>
      </c>
      <c r="C90" s="2" t="s">
        <v>1742</v>
      </c>
    </row>
    <row r="91" spans="1:3">
      <c r="A91" s="2" t="s">
        <v>1747</v>
      </c>
      <c r="B91" s="12" t="s">
        <v>554</v>
      </c>
      <c r="C91" s="2" t="s">
        <v>516</v>
      </c>
    </row>
    <row r="92" spans="1:3">
      <c r="A92" s="2" t="s">
        <v>1747</v>
      </c>
      <c r="B92" s="12" t="s">
        <v>557</v>
      </c>
      <c r="C92" s="2" t="s">
        <v>1742</v>
      </c>
    </row>
    <row r="93" spans="1:3">
      <c r="A93" s="2" t="s">
        <v>1747</v>
      </c>
      <c r="B93" s="12" t="s">
        <v>561</v>
      </c>
      <c r="C93" s="2" t="s">
        <v>516</v>
      </c>
    </row>
    <row r="94" spans="1:3">
      <c r="A94" s="2" t="s">
        <v>1747</v>
      </c>
      <c r="B94" s="12" t="s">
        <v>564</v>
      </c>
      <c r="C94" s="2" t="s">
        <v>353</v>
      </c>
    </row>
    <row r="95" spans="1:3">
      <c r="A95" s="2" t="s">
        <v>1747</v>
      </c>
      <c r="B95" s="12" t="s">
        <v>565</v>
      </c>
      <c r="C95" s="2" t="s">
        <v>482</v>
      </c>
    </row>
    <row r="96" spans="1:3">
      <c r="A96" s="2" t="s">
        <v>1747</v>
      </c>
      <c r="B96" s="12" t="s">
        <v>571</v>
      </c>
      <c r="C96" s="2" t="s">
        <v>482</v>
      </c>
    </row>
    <row r="97" spans="1:3">
      <c r="A97" s="2" t="s">
        <v>1747</v>
      </c>
      <c r="B97" s="12" t="s">
        <v>584</v>
      </c>
      <c r="C97" s="2" t="s">
        <v>482</v>
      </c>
    </row>
    <row r="98" spans="1:3">
      <c r="A98" s="2" t="s">
        <v>1747</v>
      </c>
      <c r="B98" s="12" t="s">
        <v>594</v>
      </c>
      <c r="C98" s="2" t="s">
        <v>1742</v>
      </c>
    </row>
    <row r="99" spans="1:3">
      <c r="A99" s="2" t="s">
        <v>1747</v>
      </c>
      <c r="B99" s="12" t="s">
        <v>603</v>
      </c>
      <c r="C99" s="2" t="s">
        <v>1742</v>
      </c>
    </row>
    <row r="100" spans="1:3">
      <c r="A100" s="2" t="s">
        <v>1747</v>
      </c>
      <c r="B100" s="12" t="s">
        <v>611</v>
      </c>
      <c r="C100" s="2" t="s">
        <v>1748</v>
      </c>
    </row>
    <row r="101" spans="1:3">
      <c r="A101" s="2" t="s">
        <v>1747</v>
      </c>
      <c r="B101" s="12" t="s">
        <v>615</v>
      </c>
      <c r="C101" s="2" t="s">
        <v>482</v>
      </c>
    </row>
    <row r="102" spans="1:3">
      <c r="A102" s="2" t="s">
        <v>1747</v>
      </c>
      <c r="B102" s="12" t="s">
        <v>620</v>
      </c>
      <c r="C102" s="2" t="s">
        <v>354</v>
      </c>
    </row>
    <row r="103" spans="1:3">
      <c r="A103" s="2" t="s">
        <v>1747</v>
      </c>
      <c r="B103" s="12" t="s">
        <v>623</v>
      </c>
      <c r="C103" s="2" t="s">
        <v>354</v>
      </c>
    </row>
    <row r="104" spans="1:3">
      <c r="A104" s="2" t="s">
        <v>1747</v>
      </c>
      <c r="B104" s="12" t="s">
        <v>625</v>
      </c>
      <c r="C104" s="2" t="s">
        <v>354</v>
      </c>
    </row>
    <row r="105" spans="1:3">
      <c r="A105" s="2" t="s">
        <v>1747</v>
      </c>
      <c r="B105" s="12" t="s">
        <v>627</v>
      </c>
      <c r="C105" s="2" t="s">
        <v>1742</v>
      </c>
    </row>
    <row r="106" spans="1:3">
      <c r="A106" s="2" t="s">
        <v>1747</v>
      </c>
      <c r="B106" s="12" t="s">
        <v>632</v>
      </c>
      <c r="C106" s="2" t="s">
        <v>1742</v>
      </c>
    </row>
    <row r="107" spans="1:3">
      <c r="A107" s="2" t="s">
        <v>1747</v>
      </c>
      <c r="B107" s="12" t="s">
        <v>637</v>
      </c>
      <c r="C107" s="2" t="s">
        <v>516</v>
      </c>
    </row>
    <row r="108" spans="1:3">
      <c r="A108" s="2" t="s">
        <v>1747</v>
      </c>
      <c r="B108" s="12" t="s">
        <v>640</v>
      </c>
      <c r="C108" s="2" t="s">
        <v>353</v>
      </c>
    </row>
    <row r="109" spans="1:3">
      <c r="A109" s="2" t="s">
        <v>1747</v>
      </c>
      <c r="B109" s="12" t="s">
        <v>641</v>
      </c>
      <c r="C109" s="2" t="s">
        <v>353</v>
      </c>
    </row>
    <row r="110" spans="1:3">
      <c r="A110" s="2" t="s">
        <v>1747</v>
      </c>
      <c r="B110" s="12" t="s">
        <v>642</v>
      </c>
      <c r="C110" s="2" t="s">
        <v>482</v>
      </c>
    </row>
    <row r="111" spans="1:3">
      <c r="A111" s="2" t="s">
        <v>1747</v>
      </c>
      <c r="B111" s="12" t="s">
        <v>651</v>
      </c>
      <c r="C111" s="2" t="s">
        <v>482</v>
      </c>
    </row>
    <row r="112" spans="1:3">
      <c r="A112" s="2" t="s">
        <v>1747</v>
      </c>
      <c r="B112" s="12" t="s">
        <v>658</v>
      </c>
      <c r="C112" s="2" t="s">
        <v>1742</v>
      </c>
    </row>
    <row r="113" spans="1:3">
      <c r="A113" s="2" t="s">
        <v>1747</v>
      </c>
      <c r="B113" s="12" t="s">
        <v>670</v>
      </c>
      <c r="C113" s="2" t="s">
        <v>353</v>
      </c>
    </row>
    <row r="114" spans="1:3">
      <c r="A114" s="2" t="s">
        <v>1747</v>
      </c>
      <c r="B114" s="12" t="s">
        <v>672</v>
      </c>
      <c r="C114" s="2" t="s">
        <v>354</v>
      </c>
    </row>
    <row r="115" spans="1:3">
      <c r="A115" s="2" t="s">
        <v>1747</v>
      </c>
      <c r="B115" s="12" t="s">
        <v>675</v>
      </c>
      <c r="C115" s="2" t="s">
        <v>354</v>
      </c>
    </row>
    <row r="116" spans="1:3">
      <c r="A116" s="2" t="s">
        <v>1747</v>
      </c>
      <c r="B116" s="12" t="s">
        <v>678</v>
      </c>
      <c r="C116" s="2" t="s">
        <v>482</v>
      </c>
    </row>
    <row r="117" spans="1:3">
      <c r="A117" s="2" t="s">
        <v>1747</v>
      </c>
      <c r="B117" s="12" t="s">
        <v>683</v>
      </c>
      <c r="C117" s="2" t="s">
        <v>354</v>
      </c>
    </row>
    <row r="118" spans="1:3">
      <c r="A118" s="2" t="s">
        <v>1747</v>
      </c>
      <c r="B118" s="12" t="s">
        <v>686</v>
      </c>
      <c r="C118" s="2" t="s">
        <v>1742</v>
      </c>
    </row>
    <row r="119" spans="1:3">
      <c r="A119" s="2" t="s">
        <v>1747</v>
      </c>
      <c r="B119" s="12" t="s">
        <v>702</v>
      </c>
      <c r="C119" s="2" t="s">
        <v>516</v>
      </c>
    </row>
    <row r="120" spans="1:3">
      <c r="A120" s="2" t="s">
        <v>1747</v>
      </c>
      <c r="B120" s="12" t="s">
        <v>706</v>
      </c>
      <c r="C120" s="2" t="s">
        <v>1748</v>
      </c>
    </row>
    <row r="121" spans="1:3">
      <c r="A121" s="2" t="s">
        <v>1747</v>
      </c>
      <c r="B121" s="12" t="s">
        <v>708</v>
      </c>
      <c r="C121" s="2" t="s">
        <v>482</v>
      </c>
    </row>
    <row r="122" spans="1:3">
      <c r="A122" s="2" t="s">
        <v>1747</v>
      </c>
      <c r="B122" s="12" t="s">
        <v>712</v>
      </c>
      <c r="C122" s="2" t="s">
        <v>354</v>
      </c>
    </row>
    <row r="123" spans="1:3">
      <c r="A123" s="2" t="s">
        <v>1747</v>
      </c>
      <c r="B123" s="12" t="s">
        <v>715</v>
      </c>
      <c r="C123" s="2" t="s">
        <v>354</v>
      </c>
    </row>
    <row r="124" spans="1:3">
      <c r="A124" s="2" t="s">
        <v>1747</v>
      </c>
      <c r="B124" s="12" t="s">
        <v>717</v>
      </c>
      <c r="C124" s="2" t="s">
        <v>354</v>
      </c>
    </row>
    <row r="125" spans="1:3">
      <c r="A125" s="2" t="s">
        <v>1747</v>
      </c>
      <c r="B125" s="12" t="s">
        <v>719</v>
      </c>
      <c r="C125" s="2" t="s">
        <v>516</v>
      </c>
    </row>
    <row r="126" spans="1:3">
      <c r="A126" s="2" t="s">
        <v>1747</v>
      </c>
      <c r="B126" s="12" t="s">
        <v>722</v>
      </c>
      <c r="C126" s="2" t="s">
        <v>516</v>
      </c>
    </row>
    <row r="127" spans="1:3">
      <c r="A127" s="2" t="s">
        <v>1747</v>
      </c>
      <c r="B127" s="12" t="s">
        <v>725</v>
      </c>
      <c r="C127" s="2" t="s">
        <v>516</v>
      </c>
    </row>
    <row r="128" spans="1:3">
      <c r="A128" s="2" t="s">
        <v>1749</v>
      </c>
      <c r="B128" s="12" t="s">
        <v>728</v>
      </c>
      <c r="C128" s="2" t="s">
        <v>482</v>
      </c>
    </row>
    <row r="129" spans="1:3">
      <c r="A129" s="2" t="s">
        <v>1749</v>
      </c>
      <c r="B129" s="12" t="s">
        <v>732</v>
      </c>
      <c r="C129" s="2" t="s">
        <v>482</v>
      </c>
    </row>
    <row r="130" spans="1:3">
      <c r="A130" s="2" t="s">
        <v>1749</v>
      </c>
      <c r="B130" s="12" t="s">
        <v>737</v>
      </c>
      <c r="C130" s="2" t="s">
        <v>482</v>
      </c>
    </row>
    <row r="131" spans="1:3">
      <c r="A131" s="2" t="s">
        <v>1749</v>
      </c>
      <c r="B131" s="12" t="s">
        <v>742</v>
      </c>
      <c r="C131" s="2" t="s">
        <v>482</v>
      </c>
    </row>
    <row r="132" spans="1:3">
      <c r="A132" s="2" t="s">
        <v>1749</v>
      </c>
      <c r="B132" s="12" t="s">
        <v>745</v>
      </c>
      <c r="C132" s="2" t="s">
        <v>516</v>
      </c>
    </row>
    <row r="133" spans="1:3">
      <c r="A133" s="2" t="s">
        <v>1749</v>
      </c>
      <c r="B133" s="12" t="s">
        <v>751</v>
      </c>
      <c r="C133" s="2" t="s">
        <v>483</v>
      </c>
    </row>
    <row r="134" spans="1:3">
      <c r="A134" s="2" t="s">
        <v>1750</v>
      </c>
      <c r="B134" s="12" t="s">
        <v>755</v>
      </c>
      <c r="C134" s="2" t="s">
        <v>1742</v>
      </c>
    </row>
    <row r="135" spans="1:3">
      <c r="A135" s="2" t="s">
        <v>1750</v>
      </c>
      <c r="B135" s="12" t="s">
        <v>763</v>
      </c>
      <c r="C135" s="2" t="s">
        <v>516</v>
      </c>
    </row>
    <row r="136" spans="1:3">
      <c r="A136" s="2" t="s">
        <v>1750</v>
      </c>
      <c r="B136" s="12" t="s">
        <v>767</v>
      </c>
      <c r="C136" s="2" t="s">
        <v>482</v>
      </c>
    </row>
    <row r="137" spans="1:3">
      <c r="A137" s="2" t="s">
        <v>1750</v>
      </c>
      <c r="B137" s="12" t="s">
        <v>773</v>
      </c>
      <c r="C137" s="2" t="s">
        <v>482</v>
      </c>
    </row>
    <row r="138" spans="1:3">
      <c r="A138" s="2" t="s">
        <v>1750</v>
      </c>
      <c r="B138" s="12" t="s">
        <v>775</v>
      </c>
      <c r="C138" s="2" t="s">
        <v>516</v>
      </c>
    </row>
    <row r="139" spans="1:3">
      <c r="A139" s="2" t="s">
        <v>1750</v>
      </c>
      <c r="B139" s="12" t="s">
        <v>778</v>
      </c>
      <c r="C139" s="2" t="s">
        <v>483</v>
      </c>
    </row>
    <row r="140" spans="1:3">
      <c r="A140" s="2" t="s">
        <v>1750</v>
      </c>
      <c r="B140" s="12" t="s">
        <v>781</v>
      </c>
      <c r="C140" s="2" t="s">
        <v>482</v>
      </c>
    </row>
    <row r="141" spans="1:3">
      <c r="A141" s="2" t="s">
        <v>1750</v>
      </c>
      <c r="B141" s="12" t="s">
        <v>784</v>
      </c>
      <c r="C141" s="2" t="s">
        <v>483</v>
      </c>
    </row>
    <row r="142" spans="1:3">
      <c r="A142" s="2" t="s">
        <v>1750</v>
      </c>
      <c r="B142" s="12" t="s">
        <v>787</v>
      </c>
      <c r="C142" s="2" t="s">
        <v>482</v>
      </c>
    </row>
    <row r="143" spans="1:3">
      <c r="A143" s="2" t="s">
        <v>1750</v>
      </c>
      <c r="B143" s="12" t="s">
        <v>792</v>
      </c>
      <c r="C143" s="2" t="s">
        <v>353</v>
      </c>
    </row>
    <row r="144" spans="1:3">
      <c r="A144" s="2" t="s">
        <v>1750</v>
      </c>
      <c r="B144" s="12" t="s">
        <v>793</v>
      </c>
      <c r="C144" s="2" t="s">
        <v>354</v>
      </c>
    </row>
    <row r="145" spans="1:3">
      <c r="A145" s="2" t="s">
        <v>1750</v>
      </c>
      <c r="B145" s="12" t="s">
        <v>797</v>
      </c>
      <c r="C145" s="2" t="s">
        <v>516</v>
      </c>
    </row>
    <row r="146" spans="1:3">
      <c r="A146" s="2" t="s">
        <v>1750</v>
      </c>
      <c r="B146" s="12" t="s">
        <v>801</v>
      </c>
      <c r="C146" s="2" t="s">
        <v>482</v>
      </c>
    </row>
    <row r="147" spans="1:3">
      <c r="A147" s="2" t="s">
        <v>1751</v>
      </c>
      <c r="B147" s="12" t="s">
        <v>807</v>
      </c>
      <c r="C147" s="2" t="s">
        <v>516</v>
      </c>
    </row>
    <row r="148" spans="1:3">
      <c r="A148" s="2" t="s">
        <v>1751</v>
      </c>
      <c r="B148" s="12" t="s">
        <v>821</v>
      </c>
      <c r="C148" s="2" t="s">
        <v>482</v>
      </c>
    </row>
    <row r="149" spans="1:3">
      <c r="A149" s="2" t="s">
        <v>1751</v>
      </c>
      <c r="B149" s="12" t="s">
        <v>826</v>
      </c>
      <c r="C149" s="2" t="s">
        <v>411</v>
      </c>
    </row>
    <row r="150" spans="1:3">
      <c r="A150" s="2" t="s">
        <v>1751</v>
      </c>
      <c r="B150" s="12" t="s">
        <v>829</v>
      </c>
      <c r="C150" s="2" t="s">
        <v>483</v>
      </c>
    </row>
    <row r="151" spans="1:3">
      <c r="A151" s="2" t="s">
        <v>1751</v>
      </c>
      <c r="B151" s="12" t="s">
        <v>832</v>
      </c>
      <c r="C151" s="2" t="s">
        <v>1742</v>
      </c>
    </row>
    <row r="152" spans="1:3">
      <c r="A152" s="2" t="s">
        <v>1751</v>
      </c>
      <c r="B152" s="12" t="s">
        <v>847</v>
      </c>
      <c r="C152" s="2" t="s">
        <v>1742</v>
      </c>
    </row>
    <row r="153" spans="1:3">
      <c r="A153" s="2" t="s">
        <v>1751</v>
      </c>
      <c r="B153" s="12" t="s">
        <v>854</v>
      </c>
      <c r="C153" s="2" t="s">
        <v>482</v>
      </c>
    </row>
    <row r="154" spans="1:3">
      <c r="A154" s="2" t="s">
        <v>1751</v>
      </c>
      <c r="B154" s="12" t="s">
        <v>861</v>
      </c>
      <c r="C154" s="2" t="s">
        <v>482</v>
      </c>
    </row>
    <row r="155" spans="1:3">
      <c r="A155" s="2" t="s">
        <v>1751</v>
      </c>
      <c r="B155" s="12" t="s">
        <v>868</v>
      </c>
      <c r="C155" s="2" t="s">
        <v>482</v>
      </c>
    </row>
    <row r="156" spans="1:3">
      <c r="A156" s="2" t="s">
        <v>1751</v>
      </c>
      <c r="B156" s="12" t="s">
        <v>873</v>
      </c>
      <c r="C156" s="2" t="s">
        <v>482</v>
      </c>
    </row>
    <row r="157" spans="1:3">
      <c r="A157" s="2" t="s">
        <v>1751</v>
      </c>
      <c r="B157" s="12" t="s">
        <v>877</v>
      </c>
      <c r="C157" s="2" t="s">
        <v>1742</v>
      </c>
    </row>
    <row r="158" spans="1:3">
      <c r="A158" s="2" t="s">
        <v>1751</v>
      </c>
      <c r="B158" s="12" t="s">
        <v>884</v>
      </c>
      <c r="C158" s="2" t="s">
        <v>482</v>
      </c>
    </row>
    <row r="159" spans="1:3">
      <c r="A159" s="2" t="s">
        <v>1752</v>
      </c>
      <c r="B159" s="12" t="s">
        <v>888</v>
      </c>
      <c r="C159" s="2" t="s">
        <v>353</v>
      </c>
    </row>
    <row r="160" spans="1:3">
      <c r="A160" s="2" t="s">
        <v>1752</v>
      </c>
      <c r="B160" s="12" t="s">
        <v>889</v>
      </c>
      <c r="C160" s="2" t="s">
        <v>482</v>
      </c>
    </row>
    <row r="161" spans="1:3">
      <c r="A161" s="2" t="s">
        <v>1752</v>
      </c>
      <c r="B161" s="12" t="s">
        <v>893</v>
      </c>
      <c r="C161" s="2" t="s">
        <v>354</v>
      </c>
    </row>
    <row r="162" spans="1:3">
      <c r="A162" s="2" t="s">
        <v>1752</v>
      </c>
      <c r="B162" s="12" t="s">
        <v>896</v>
      </c>
      <c r="C162" s="2" t="s">
        <v>516</v>
      </c>
    </row>
    <row r="163" spans="1:3">
      <c r="A163" s="2" t="s">
        <v>1753</v>
      </c>
      <c r="B163" s="12" t="s">
        <v>901</v>
      </c>
      <c r="C163" s="2" t="s">
        <v>516</v>
      </c>
    </row>
    <row r="164" spans="1:3">
      <c r="A164" s="2" t="s">
        <v>1753</v>
      </c>
      <c r="B164" s="12" t="s">
        <v>905</v>
      </c>
      <c r="C164" s="2" t="s">
        <v>482</v>
      </c>
    </row>
    <row r="165" spans="1:3">
      <c r="A165" s="2" t="s">
        <v>1753</v>
      </c>
      <c r="B165" s="12" t="s">
        <v>909</v>
      </c>
      <c r="C165" s="2" t="s">
        <v>482</v>
      </c>
    </row>
    <row r="166" spans="1:3">
      <c r="A166" s="2" t="s">
        <v>1753</v>
      </c>
      <c r="B166" s="12" t="s">
        <v>913</v>
      </c>
      <c r="C166" s="2" t="s">
        <v>482</v>
      </c>
    </row>
    <row r="167" spans="1:3">
      <c r="A167" s="2" t="s">
        <v>1753</v>
      </c>
      <c r="B167" s="12" t="s">
        <v>915</v>
      </c>
      <c r="C167" s="2" t="s">
        <v>482</v>
      </c>
    </row>
    <row r="168" spans="1:3">
      <c r="A168" s="2" t="s">
        <v>1754</v>
      </c>
      <c r="B168" s="12" t="s">
        <v>918</v>
      </c>
      <c r="C168" s="2" t="s">
        <v>482</v>
      </c>
    </row>
    <row r="169" spans="1:3">
      <c r="A169" s="2" t="s">
        <v>1754</v>
      </c>
      <c r="B169" s="12" t="s">
        <v>922</v>
      </c>
      <c r="C169" s="2" t="s">
        <v>482</v>
      </c>
    </row>
    <row r="170" spans="1:3">
      <c r="A170" s="2" t="s">
        <v>1754</v>
      </c>
      <c r="B170" s="12" t="s">
        <v>930</v>
      </c>
      <c r="C170" s="2" t="s">
        <v>482</v>
      </c>
    </row>
    <row r="171" spans="1:3">
      <c r="A171" s="2" t="s">
        <v>1754</v>
      </c>
      <c r="B171" s="12" t="s">
        <v>933</v>
      </c>
      <c r="C171" s="2" t="s">
        <v>482</v>
      </c>
    </row>
    <row r="172" spans="1:3">
      <c r="A172" s="2" t="s">
        <v>1754</v>
      </c>
      <c r="B172" s="12" t="s">
        <v>935</v>
      </c>
      <c r="C172" s="2" t="s">
        <v>482</v>
      </c>
    </row>
    <row r="173" spans="1:3">
      <c r="A173" s="2" t="s">
        <v>1754</v>
      </c>
      <c r="B173" s="12" t="s">
        <v>937</v>
      </c>
      <c r="C173" s="2" t="s">
        <v>482</v>
      </c>
    </row>
    <row r="174" spans="1:3">
      <c r="A174" s="2" t="s">
        <v>1755</v>
      </c>
      <c r="B174" s="12" t="s">
        <v>940</v>
      </c>
      <c r="C174" s="2" t="s">
        <v>482</v>
      </c>
    </row>
    <row r="175" spans="1:3">
      <c r="A175" s="2" t="s">
        <v>1755</v>
      </c>
      <c r="B175" s="12" t="s">
        <v>947</v>
      </c>
      <c r="C175" s="2" t="s">
        <v>482</v>
      </c>
    </row>
    <row r="176" spans="1:3">
      <c r="A176" s="2" t="s">
        <v>1755</v>
      </c>
      <c r="B176" s="12" t="s">
        <v>950</v>
      </c>
      <c r="C176" s="2" t="s">
        <v>1742</v>
      </c>
    </row>
    <row r="177" spans="1:3">
      <c r="A177" s="2" t="s">
        <v>1755</v>
      </c>
      <c r="B177" s="12" t="s">
        <v>961</v>
      </c>
      <c r="C177" s="2" t="s">
        <v>1742</v>
      </c>
    </row>
    <row r="178" spans="1:3">
      <c r="A178" s="2" t="s">
        <v>1755</v>
      </c>
      <c r="B178" s="12" t="s">
        <v>974</v>
      </c>
      <c r="C178" s="2" t="s">
        <v>482</v>
      </c>
    </row>
    <row r="179" spans="1:3">
      <c r="A179" s="2" t="s">
        <v>1755</v>
      </c>
      <c r="B179" s="12" t="s">
        <v>976</v>
      </c>
      <c r="C179" s="2" t="s">
        <v>516</v>
      </c>
    </row>
    <row r="180" spans="1:3">
      <c r="A180" s="2" t="s">
        <v>1756</v>
      </c>
      <c r="B180" s="12" t="s">
        <v>980</v>
      </c>
      <c r="C180" s="2" t="s">
        <v>482</v>
      </c>
    </row>
    <row r="181" spans="1:3">
      <c r="A181" s="2" t="s">
        <v>1756</v>
      </c>
      <c r="B181" s="12" t="s">
        <v>983</v>
      </c>
      <c r="C181" s="2" t="s">
        <v>482</v>
      </c>
    </row>
    <row r="182" spans="1:3">
      <c r="A182" s="2" t="s">
        <v>1756</v>
      </c>
      <c r="B182" s="12" t="s">
        <v>987</v>
      </c>
      <c r="C182" s="2" t="s">
        <v>353</v>
      </c>
    </row>
    <row r="183" spans="1:3">
      <c r="A183" s="2" t="s">
        <v>1756</v>
      </c>
      <c r="B183" s="12" t="s">
        <v>990</v>
      </c>
      <c r="C183" s="2" t="s">
        <v>482</v>
      </c>
    </row>
    <row r="184" spans="1:3">
      <c r="A184" s="2" t="s">
        <v>1756</v>
      </c>
      <c r="B184" s="12" t="s">
        <v>993</v>
      </c>
      <c r="C184" s="2" t="s">
        <v>482</v>
      </c>
    </row>
    <row r="185" spans="1:3">
      <c r="A185" s="2" t="s">
        <v>1756</v>
      </c>
      <c r="B185" s="12" t="s">
        <v>1000</v>
      </c>
      <c r="C185" s="2" t="s">
        <v>482</v>
      </c>
    </row>
    <row r="186" spans="1:3">
      <c r="A186" s="2" t="s">
        <v>1757</v>
      </c>
      <c r="B186" s="12" t="s">
        <v>1003</v>
      </c>
      <c r="C186" s="2" t="s">
        <v>516</v>
      </c>
    </row>
    <row r="187" spans="1:3">
      <c r="A187" s="2" t="s">
        <v>1757</v>
      </c>
      <c r="B187" s="12" t="s">
        <v>1012</v>
      </c>
      <c r="C187" s="2" t="s">
        <v>516</v>
      </c>
    </row>
    <row r="188" spans="1:3">
      <c r="A188" s="2" t="s">
        <v>1757</v>
      </c>
      <c r="B188" s="12" t="s">
        <v>1018</v>
      </c>
      <c r="C188" s="2" t="s">
        <v>516</v>
      </c>
    </row>
    <row r="189" spans="1:3">
      <c r="A189" s="2" t="s">
        <v>1757</v>
      </c>
      <c r="B189" s="12" t="s">
        <v>1024</v>
      </c>
      <c r="C189" s="2" t="s">
        <v>516</v>
      </c>
    </row>
    <row r="190" spans="1:3">
      <c r="A190" s="2" t="s">
        <v>1757</v>
      </c>
      <c r="B190" s="12" t="s">
        <v>1030</v>
      </c>
      <c r="C190" s="2" t="s">
        <v>411</v>
      </c>
    </row>
    <row r="191" spans="1:3">
      <c r="A191" s="2" t="s">
        <v>1757</v>
      </c>
      <c r="B191" s="12" t="s">
        <v>1032</v>
      </c>
      <c r="C191" s="2" t="s">
        <v>516</v>
      </c>
    </row>
    <row r="192" spans="1:3">
      <c r="A192" s="2" t="s">
        <v>1757</v>
      </c>
      <c r="B192" s="12" t="s">
        <v>1035</v>
      </c>
      <c r="C192" s="2" t="s">
        <v>483</v>
      </c>
    </row>
    <row r="193" spans="1:3">
      <c r="A193" s="2" t="s">
        <v>1758</v>
      </c>
      <c r="B193" s="12" t="s">
        <v>1048</v>
      </c>
      <c r="C193" s="2" t="s">
        <v>482</v>
      </c>
    </row>
    <row r="194" spans="1:3">
      <c r="A194" s="2" t="s">
        <v>1758</v>
      </c>
      <c r="B194" s="12" t="s">
        <v>1063</v>
      </c>
      <c r="C194" s="2" t="s">
        <v>411</v>
      </c>
    </row>
    <row r="195" spans="1:3">
      <c r="A195" s="2" t="s">
        <v>1758</v>
      </c>
      <c r="B195" s="12" t="s">
        <v>1066</v>
      </c>
      <c r="C195" s="2" t="s">
        <v>1742</v>
      </c>
    </row>
    <row r="196" spans="1:3">
      <c r="A196" s="2" t="s">
        <v>1610</v>
      </c>
      <c r="B196" s="12" t="s">
        <v>1074</v>
      </c>
      <c r="C196" s="2" t="s">
        <v>482</v>
      </c>
    </row>
    <row r="197" spans="1:3">
      <c r="A197" s="2" t="s">
        <v>1610</v>
      </c>
      <c r="B197" s="12" t="s">
        <v>1093</v>
      </c>
      <c r="C197" s="2" t="s">
        <v>483</v>
      </c>
    </row>
    <row r="198" spans="1:3">
      <c r="A198" s="2" t="s">
        <v>1610</v>
      </c>
      <c r="B198" s="12" t="s">
        <v>1103</v>
      </c>
      <c r="C198" s="2" t="s">
        <v>482</v>
      </c>
    </row>
    <row r="199" spans="1:3">
      <c r="A199" s="2" t="s">
        <v>1610</v>
      </c>
      <c r="B199" s="12" t="s">
        <v>1118</v>
      </c>
      <c r="C199" s="2" t="s">
        <v>482</v>
      </c>
    </row>
    <row r="200" spans="1:3">
      <c r="A200" s="2" t="s">
        <v>1610</v>
      </c>
      <c r="B200" s="12" t="s">
        <v>1127</v>
      </c>
      <c r="C200" s="2" t="s">
        <v>482</v>
      </c>
    </row>
    <row r="201" spans="1:3">
      <c r="A201" s="2" t="s">
        <v>1610</v>
      </c>
      <c r="B201" s="12" t="s">
        <v>1135</v>
      </c>
      <c r="C201" s="2" t="s">
        <v>482</v>
      </c>
    </row>
    <row r="202" spans="1:3">
      <c r="A202" s="2" t="s">
        <v>1610</v>
      </c>
      <c r="B202" s="12" t="s">
        <v>1142</v>
      </c>
      <c r="C202" s="2" t="s">
        <v>482</v>
      </c>
    </row>
    <row r="203" spans="1:3">
      <c r="A203" s="2" t="s">
        <v>1610</v>
      </c>
      <c r="B203" s="12" t="s">
        <v>1149</v>
      </c>
      <c r="C203" s="2" t="s">
        <v>1742</v>
      </c>
    </row>
    <row r="204" spans="1:3">
      <c r="A204" s="2" t="s">
        <v>1610</v>
      </c>
      <c r="B204" s="12" t="s">
        <v>1256</v>
      </c>
      <c r="C204" s="2" t="s">
        <v>482</v>
      </c>
    </row>
    <row r="205" spans="1:3">
      <c r="A205" s="2" t="s">
        <v>1610</v>
      </c>
      <c r="B205" s="12" t="s">
        <v>1260</v>
      </c>
      <c r="C205" s="2" t="s">
        <v>482</v>
      </c>
    </row>
    <row r="206" spans="1:3">
      <c r="A206" s="2" t="s">
        <v>1610</v>
      </c>
      <c r="B206" s="12" t="s">
        <v>1264</v>
      </c>
      <c r="C206" s="2" t="s">
        <v>482</v>
      </c>
    </row>
    <row r="207" spans="1:3">
      <c r="A207" s="2" t="s">
        <v>1610</v>
      </c>
      <c r="B207" s="12" t="s">
        <v>1267</v>
      </c>
      <c r="C207" s="2" t="s">
        <v>482</v>
      </c>
    </row>
    <row r="208" spans="1:3">
      <c r="A208" s="2" t="s">
        <v>1610</v>
      </c>
      <c r="B208" s="12" t="s">
        <v>1271</v>
      </c>
      <c r="C208" s="2" t="s">
        <v>482</v>
      </c>
    </row>
    <row r="209" spans="1:3">
      <c r="A209" s="2" t="s">
        <v>1610</v>
      </c>
      <c r="B209" s="12" t="s">
        <v>1275</v>
      </c>
      <c r="C209" s="2" t="s">
        <v>1742</v>
      </c>
    </row>
    <row r="210" spans="1:3">
      <c r="A210" s="2" t="s">
        <v>1610</v>
      </c>
      <c r="B210" s="12" t="s">
        <v>1293</v>
      </c>
      <c r="C210" s="2" t="s">
        <v>482</v>
      </c>
    </row>
    <row r="211" spans="1:3">
      <c r="A211" s="2" t="s">
        <v>1610</v>
      </c>
      <c r="B211" s="12" t="s">
        <v>1296</v>
      </c>
      <c r="C211" s="2" t="s">
        <v>482</v>
      </c>
    </row>
    <row r="212" spans="1:3">
      <c r="A212" s="2" t="s">
        <v>1610</v>
      </c>
      <c r="B212" s="12" t="s">
        <v>1299</v>
      </c>
      <c r="C212" s="2" t="s">
        <v>482</v>
      </c>
    </row>
    <row r="213" spans="1:3">
      <c r="A213" s="2" t="s">
        <v>1610</v>
      </c>
      <c r="B213" s="12" t="s">
        <v>1303</v>
      </c>
      <c r="C213" s="2" t="s">
        <v>482</v>
      </c>
    </row>
    <row r="214" spans="1:3">
      <c r="A214" s="2" t="s">
        <v>1610</v>
      </c>
      <c r="B214" s="12" t="s">
        <v>1306</v>
      </c>
      <c r="C214" s="2" t="s">
        <v>482</v>
      </c>
    </row>
    <row r="215" spans="1:3">
      <c r="A215" s="2" t="s">
        <v>1610</v>
      </c>
      <c r="B215" s="12" t="s">
        <v>1309</v>
      </c>
      <c r="C215" s="2" t="s">
        <v>1742</v>
      </c>
    </row>
    <row r="216" spans="1:3">
      <c r="A216" s="2" t="s">
        <v>1610</v>
      </c>
      <c r="B216" s="12" t="s">
        <v>1326</v>
      </c>
      <c r="C216" s="2" t="s">
        <v>482</v>
      </c>
    </row>
    <row r="217" spans="1:3">
      <c r="A217" s="2" t="s">
        <v>1610</v>
      </c>
      <c r="B217" s="12" t="s">
        <v>1329</v>
      </c>
      <c r="C217" s="2" t="s">
        <v>482</v>
      </c>
    </row>
    <row r="218" spans="1:3">
      <c r="A218" s="2" t="s">
        <v>1610</v>
      </c>
      <c r="B218" s="12" t="s">
        <v>1332</v>
      </c>
      <c r="C218" s="2" t="s">
        <v>482</v>
      </c>
    </row>
    <row r="219" spans="1:3">
      <c r="A219" s="2" t="s">
        <v>1610</v>
      </c>
      <c r="B219" s="12" t="s">
        <v>1336</v>
      </c>
      <c r="C219" s="2" t="s">
        <v>482</v>
      </c>
    </row>
    <row r="220" spans="1:3">
      <c r="A220" s="2" t="s">
        <v>1610</v>
      </c>
      <c r="B220" s="12" t="s">
        <v>1339</v>
      </c>
      <c r="C220" s="2" t="s">
        <v>482</v>
      </c>
    </row>
    <row r="221" spans="1:3">
      <c r="A221" s="2" t="s">
        <v>1610</v>
      </c>
      <c r="B221" s="12" t="s">
        <v>1342</v>
      </c>
      <c r="C221" s="2" t="s">
        <v>1742</v>
      </c>
    </row>
    <row r="222" spans="1:3">
      <c r="A222" s="2" t="s">
        <v>1610</v>
      </c>
      <c r="B222" s="12" t="s">
        <v>1359</v>
      </c>
      <c r="C222" s="2" t="s">
        <v>482</v>
      </c>
    </row>
    <row r="223" spans="1:3">
      <c r="A223" s="2" t="s">
        <v>1610</v>
      </c>
      <c r="B223" s="12" t="s">
        <v>1362</v>
      </c>
      <c r="C223" s="2" t="s">
        <v>482</v>
      </c>
    </row>
    <row r="224" spans="1:3">
      <c r="A224" s="2" t="s">
        <v>1759</v>
      </c>
      <c r="B224" s="12" t="s">
        <v>1400</v>
      </c>
      <c r="C224" s="2" t="s">
        <v>482</v>
      </c>
    </row>
    <row r="225" spans="1:3">
      <c r="A225" s="2" t="s">
        <v>1759</v>
      </c>
      <c r="B225" s="12" t="s">
        <v>1421</v>
      </c>
      <c r="C225" s="2" t="s">
        <v>353</v>
      </c>
    </row>
    <row r="226" spans="1:3">
      <c r="A226" s="2" t="s">
        <v>1759</v>
      </c>
      <c r="B226" s="12" t="s">
        <v>1423</v>
      </c>
      <c r="C226" s="2" t="s">
        <v>482</v>
      </c>
    </row>
    <row r="227" spans="1:3">
      <c r="A227" s="2" t="s">
        <v>1759</v>
      </c>
      <c r="B227" s="12" t="s">
        <v>1442</v>
      </c>
      <c r="C227" s="2" t="s">
        <v>482</v>
      </c>
    </row>
    <row r="228" spans="1:3">
      <c r="A228" s="2" t="s">
        <v>1759</v>
      </c>
      <c r="B228" s="12" t="s">
        <v>1449</v>
      </c>
      <c r="C228" s="2" t="s">
        <v>482</v>
      </c>
    </row>
    <row r="229" spans="1:3">
      <c r="A229" s="2" t="s">
        <v>1759</v>
      </c>
      <c r="B229" s="12" t="s">
        <v>1456</v>
      </c>
      <c r="C229" s="2" t="s">
        <v>1742</v>
      </c>
    </row>
    <row r="230" spans="1:3">
      <c r="A230" s="2" t="s">
        <v>1759</v>
      </c>
      <c r="B230" s="12" t="s">
        <v>1472</v>
      </c>
      <c r="C230" s="2" t="s">
        <v>482</v>
      </c>
    </row>
    <row r="231" spans="1:3">
      <c r="A231" s="2" t="s">
        <v>1760</v>
      </c>
      <c r="B231" s="12" t="s">
        <v>1487</v>
      </c>
      <c r="C231" s="2" t="s">
        <v>1742</v>
      </c>
    </row>
    <row r="232" spans="1:3">
      <c r="A232" s="2" t="s">
        <v>1761</v>
      </c>
      <c r="B232" s="12" t="s">
        <v>1503</v>
      </c>
      <c r="C232" s="2" t="s">
        <v>1742</v>
      </c>
    </row>
    <row r="233" spans="1:3">
      <c r="A233" s="2" t="s">
        <v>1761</v>
      </c>
      <c r="B233" s="12" t="s">
        <v>1519</v>
      </c>
      <c r="C233" s="2" t="s">
        <v>1742</v>
      </c>
    </row>
    <row r="234" spans="1:3">
      <c r="A234" s="2" t="s">
        <v>1761</v>
      </c>
      <c r="B234" s="12" t="s">
        <v>1577</v>
      </c>
      <c r="C234" s="2" t="s">
        <v>483</v>
      </c>
    </row>
    <row r="235" spans="1:3">
      <c r="A235" s="2" t="s">
        <v>1762</v>
      </c>
      <c r="B235" s="12" t="s">
        <v>1616</v>
      </c>
      <c r="C235" s="2" t="s">
        <v>1742</v>
      </c>
    </row>
    <row r="236" spans="1:3">
      <c r="A236" s="2" t="s">
        <v>1762</v>
      </c>
      <c r="B236" s="12" t="s">
        <v>1619</v>
      </c>
      <c r="C236" s="2" t="s">
        <v>483</v>
      </c>
    </row>
    <row r="237" spans="1:3">
      <c r="A237" s="2" t="s">
        <v>1763</v>
      </c>
      <c r="B237" s="12" t="s">
        <v>1623</v>
      </c>
      <c r="C237" s="2" t="s">
        <v>482</v>
      </c>
    </row>
    <row r="238" spans="1:3">
      <c r="A238" s="2" t="s">
        <v>1763</v>
      </c>
      <c r="B238" s="12" t="s">
        <v>1638</v>
      </c>
      <c r="C238" s="2" t="s">
        <v>411</v>
      </c>
    </row>
    <row r="239" spans="1:3">
      <c r="A239" s="2" t="s">
        <v>1763</v>
      </c>
      <c r="B239" s="12" t="s">
        <v>1643</v>
      </c>
      <c r="C239" s="2" t="s">
        <v>353</v>
      </c>
    </row>
    <row r="240" spans="1:3">
      <c r="A240" s="2" t="s">
        <v>1763</v>
      </c>
      <c r="B240" s="12" t="s">
        <v>1648</v>
      </c>
      <c r="C240" s="2" t="s">
        <v>482</v>
      </c>
    </row>
    <row r="241" spans="1:3">
      <c r="A241" s="2" t="s">
        <v>1763</v>
      </c>
      <c r="B241" s="12" t="s">
        <v>1684</v>
      </c>
      <c r="C241" s="2" t="s">
        <v>411</v>
      </c>
    </row>
    <row r="242" spans="1:3">
      <c r="A242" s="2" t="s">
        <v>1763</v>
      </c>
      <c r="B242" s="12" t="s">
        <v>1688</v>
      </c>
      <c r="C242" s="2" t="s">
        <v>411</v>
      </c>
    </row>
    <row r="243" spans="1:3">
      <c r="A243" s="2" t="s">
        <v>1764</v>
      </c>
      <c r="B243" s="12" t="s">
        <v>1690</v>
      </c>
      <c r="C243" s="2" t="s">
        <v>1742</v>
      </c>
    </row>
    <row r="244" spans="1:3">
      <c r="A244" s="2" t="s">
        <v>1764</v>
      </c>
      <c r="B244" s="12" t="s">
        <v>1698</v>
      </c>
      <c r="C244" s="2" t="s">
        <v>1742</v>
      </c>
    </row>
    <row r="245" spans="1:3">
      <c r="A245" s="2" t="s">
        <v>1767</v>
      </c>
      <c r="B245" s="12" t="s">
        <v>1765</v>
      </c>
      <c r="C245" s="2" t="s">
        <v>1766</v>
      </c>
    </row>
    <row r="247" spans="1:3">
      <c r="A247" s="1" t="s">
        <v>1768</v>
      </c>
    </row>
    <row r="248" spans="1:3">
      <c r="A248" s="2" t="s">
        <v>1769</v>
      </c>
    </row>
    <row r="249" spans="1:3">
      <c r="A249" s="2" t="s">
        <v>1770</v>
      </c>
    </row>
    <row r="250" spans="1:3">
      <c r="A250" s="2" t="s">
        <v>1771</v>
      </c>
    </row>
    <row r="251" spans="1:3">
      <c r="A251" s="2" t="s">
        <v>1772</v>
      </c>
    </row>
    <row r="252" spans="1:3">
      <c r="A252" s="2" t="s">
        <v>1773</v>
      </c>
    </row>
    <row r="253" spans="1:3">
      <c r="A253" s="2" t="s">
        <v>1774</v>
      </c>
    </row>
    <row r="254" spans="1:3">
      <c r="A254" s="2" t="s">
        <v>1775</v>
      </c>
    </row>
    <row r="255" spans="1:3">
      <c r="A255" s="2" t="s">
        <v>1776</v>
      </c>
    </row>
    <row r="256" spans="1:3">
      <c r="A256" s="2" t="s">
        <v>1777</v>
      </c>
    </row>
    <row r="257" spans="1:1">
      <c r="A257" s="2" t="s">
        <v>1778</v>
      </c>
    </row>
    <row r="258" spans="1:1">
      <c r="A258" s="2" t="s">
        <v>1779</v>
      </c>
    </row>
    <row r="259" spans="1:1">
      <c r="A259" s="2" t="s">
        <v>1780</v>
      </c>
    </row>
    <row r="260" spans="1:1">
      <c r="A260" s="2" t="s">
        <v>1781</v>
      </c>
    </row>
    <row r="261" spans="1:1">
      <c r="A261" s="2" t="s">
        <v>1782</v>
      </c>
    </row>
    <row r="262" spans="1:1">
      <c r="A262" s="2" t="s">
        <v>1783</v>
      </c>
    </row>
    <row r="263" spans="1:1">
      <c r="A263" s="2" t="s">
        <v>1784</v>
      </c>
    </row>
    <row r="264" spans="1:1">
      <c r="A264" s="2" t="s">
        <v>1785</v>
      </c>
    </row>
    <row r="265" spans="1:1">
      <c r="A265" s="2" t="s">
        <v>1786</v>
      </c>
    </row>
    <row r="266" spans="1:1">
      <c r="A266" s="2" t="s">
        <v>1787</v>
      </c>
    </row>
    <row r="267" spans="1:1">
      <c r="A267" s="2" t="s">
        <v>1788</v>
      </c>
    </row>
    <row r="268" spans="1:1">
      <c r="A268" s="2" t="s">
        <v>1789</v>
      </c>
    </row>
    <row r="269" spans="1:1">
      <c r="A269" s="2" t="s">
        <v>1790</v>
      </c>
    </row>
    <row r="270" spans="1:1">
      <c r="A270" s="2" t="s">
        <v>1791</v>
      </c>
    </row>
    <row r="271" spans="1:1">
      <c r="A271" s="2" t="s">
        <v>1792</v>
      </c>
    </row>
    <row r="272" spans="1:1">
      <c r="A272" s="2" t="s">
        <v>1793</v>
      </c>
    </row>
    <row r="273" spans="1:1">
      <c r="A273" s="2" t="s">
        <v>1794</v>
      </c>
    </row>
    <row r="274" spans="1:1">
      <c r="A274" s="2" t="s">
        <v>1795</v>
      </c>
    </row>
    <row r="275" spans="1:1">
      <c r="A275" s="2" t="s">
        <v>1796</v>
      </c>
    </row>
    <row r="276" spans="1:1">
      <c r="A276" s="2" t="s">
        <v>1797</v>
      </c>
    </row>
    <row r="277" spans="1:1">
      <c r="A277" s="2" t="s">
        <v>1798</v>
      </c>
    </row>
    <row r="278" spans="1:1">
      <c r="A278" s="2" t="s">
        <v>1799</v>
      </c>
    </row>
    <row r="279" spans="1:1">
      <c r="A279" s="2" t="s">
        <v>1800</v>
      </c>
    </row>
    <row r="280" spans="1:1">
      <c r="A280" s="2" t="s">
        <v>1801</v>
      </c>
    </row>
    <row r="281" spans="1:1">
      <c r="A281" s="2" t="s">
        <v>1802</v>
      </c>
    </row>
    <row r="282" spans="1:1">
      <c r="A282" s="2" t="s">
        <v>1803</v>
      </c>
    </row>
    <row r="283" spans="1:1">
      <c r="A283" s="2" t="s">
        <v>1804</v>
      </c>
    </row>
    <row r="284" spans="1:1">
      <c r="A284" s="2" t="s">
        <v>1805</v>
      </c>
    </row>
    <row r="285" spans="1:1">
      <c r="A285" s="2" t="s">
        <v>1806</v>
      </c>
    </row>
    <row r="286" spans="1:1">
      <c r="A286" s="2" t="s">
        <v>1807</v>
      </c>
    </row>
    <row r="287" spans="1:1">
      <c r="A287" s="2" t="s">
        <v>1808</v>
      </c>
    </row>
    <row r="288" spans="1:1">
      <c r="A288" s="2" t="s">
        <v>1809</v>
      </c>
    </row>
    <row r="289" spans="1:1">
      <c r="A289" s="2" t="s">
        <v>1810</v>
      </c>
    </row>
    <row r="290" spans="1:1">
      <c r="A290" s="2" t="s">
        <v>1811</v>
      </c>
    </row>
    <row r="291" spans="1:1">
      <c r="A291" s="2" t="s">
        <v>1812</v>
      </c>
    </row>
    <row r="292" spans="1:1">
      <c r="A292" s="2" t="s">
        <v>1813</v>
      </c>
    </row>
    <row r="293" spans="1:1">
      <c r="A293" s="2" t="s">
        <v>1814</v>
      </c>
    </row>
    <row r="294" spans="1:1">
      <c r="A294" s="2" t="s">
        <v>1815</v>
      </c>
    </row>
    <row r="295" spans="1:1">
      <c r="A295" s="2" t="s">
        <v>1816</v>
      </c>
    </row>
    <row r="296" spans="1:1">
      <c r="A296" s="2" t="s">
        <v>1817</v>
      </c>
    </row>
    <row r="297" spans="1:1">
      <c r="A297" s="2" t="s">
        <v>1818</v>
      </c>
    </row>
    <row r="298" spans="1:1">
      <c r="A298" s="2" t="s">
        <v>1819</v>
      </c>
    </row>
    <row r="299" spans="1:1">
      <c r="A299" s="2" t="s">
        <v>1820</v>
      </c>
    </row>
    <row r="300" spans="1:1">
      <c r="A300" s="2" t="s">
        <v>1821</v>
      </c>
    </row>
    <row r="301" spans="1:1">
      <c r="A301" s="2" t="s">
        <v>1822</v>
      </c>
    </row>
    <row r="302" spans="1:1">
      <c r="A302" s="2" t="s">
        <v>1823</v>
      </c>
    </row>
    <row r="303" spans="1:1">
      <c r="A303" s="2" t="s">
        <v>1824</v>
      </c>
    </row>
    <row r="304" spans="1:1">
      <c r="A304" s="2" t="s">
        <v>1825</v>
      </c>
    </row>
    <row r="305" spans="1:1">
      <c r="A305" s="2" t="s">
        <v>1826</v>
      </c>
    </row>
    <row r="306" spans="1:1">
      <c r="A306" s="2" t="s">
        <v>1827</v>
      </c>
    </row>
    <row r="307" spans="1:1">
      <c r="A307" s="2" t="s">
        <v>1828</v>
      </c>
    </row>
    <row r="308" spans="1:1">
      <c r="A308" s="2" t="s">
        <v>1829</v>
      </c>
    </row>
    <row r="309" spans="1:1">
      <c r="A309" s="2" t="s">
        <v>1830</v>
      </c>
    </row>
    <row r="310" spans="1:1">
      <c r="A310" s="2" t="s">
        <v>1831</v>
      </c>
    </row>
    <row r="311" spans="1:1">
      <c r="A311" s="2" t="s">
        <v>1832</v>
      </c>
    </row>
    <row r="312" spans="1:1">
      <c r="A312" s="2" t="s">
        <v>1833</v>
      </c>
    </row>
    <row r="313" spans="1:1">
      <c r="A313" s="2" t="s">
        <v>1834</v>
      </c>
    </row>
    <row r="314" spans="1:1">
      <c r="A314" s="2" t="s">
        <v>1835</v>
      </c>
    </row>
    <row r="315" spans="1:1">
      <c r="A315" s="2" t="s">
        <v>1836</v>
      </c>
    </row>
    <row r="316" spans="1:1">
      <c r="A316" s="2" t="s">
        <v>1837</v>
      </c>
    </row>
    <row r="317" spans="1:1">
      <c r="A317" s="2"/>
    </row>
    <row r="318" spans="1:1">
      <c r="A318" s="2" t="s">
        <v>1838</v>
      </c>
    </row>
  </sheetData>
  <autoFilter ref="A29:C245"/>
  <hyperlinks>
    <hyperlink ref="B30" location="'Input'!B6" display="1000. Company, charging year, data version"/>
    <hyperlink ref="B31" location="'Input'!B11" display="1001. CDCM target revenue"/>
    <hyperlink ref="B32" location="'Input'!B57" display="1010. Financial and general assumptions"/>
    <hyperlink ref="B33" location="'Input'!B67" display="1017. Diversity allowance between top and bottom of network level"/>
    <hyperlink ref="B34" location="'Input'!B79" display="1018. Proportion of relevant load going through 132kV/HV direct transformation"/>
    <hyperlink ref="B35" location="'Input'!B84" display="1019. Network model GSP peak demand (MW)"/>
    <hyperlink ref="B36" location="'Input'!B89" display="1020. Gross asset cost by network level (£)"/>
    <hyperlink ref="B37" location="'Input'!B101" display="1022. LV service model asset cost (£)"/>
    <hyperlink ref="B38" location="'Input'!B106" display="1023. HV service model asset cost (£)"/>
    <hyperlink ref="B39" location="'Input'!B111" display="1025. Matrix of applicability of LV service models to tariffs with fixed charges"/>
    <hyperlink ref="B40" location="'Input'!B131" display="1026. Matrix of applicability of LV service models to unmetered tariffs"/>
    <hyperlink ref="B41" location="'Input'!B136" display="1028. Matrix of applicability of HV service models to tariffs with fixed charges"/>
    <hyperlink ref="B42" location="'Input'!B145" display="1032. Loss adjustment factors to transmission"/>
    <hyperlink ref="B43" location="'Input'!B151" display="1037. Embedded network (LDNO) discounts"/>
    <hyperlink ref="B44" location="'Input'!B157" display="1041. Load profile data for demand users"/>
    <hyperlink ref="B45" location="'Input'!B181" display="1053. Volume forecasts for the charging year"/>
    <hyperlink ref="B46" location="'Input'!B275" display="1055. Transmission exit charges (£/year)"/>
    <hyperlink ref="B47" location="'Input'!B280" display="1059. Other expenditure"/>
    <hyperlink ref="B48" location="'Input'!B288" display="1060. Customer contributions under current connection charging policy"/>
    <hyperlink ref="B49" location="'Input'!B296" display="1061. Average split of rate 1 units by distribution time band"/>
    <hyperlink ref="B50" location="'Input'!B307" display="1062. Average split of rate 2 units by distribution time band"/>
    <hyperlink ref="B51" location="'Input'!B316" display="1064. Average split of rate 1 units by special distribution time band"/>
    <hyperlink ref="B52" location="'Input'!B326" display="1066. Typical annual hours by special distribution time band"/>
    <hyperlink ref="B53" location="'Input'!B333" display="1068. Typical annual hours by distribution time band"/>
    <hyperlink ref="B54" location="'Input'!B340" display="1069. Peaking probabilities by network level"/>
    <hyperlink ref="B55" location="'Input'!B355" display="1092. Average kVAr by kVA, by network level"/>
    <hyperlink ref="B56" location="'Input'!B360" display="1201. Current tariff information"/>
    <hyperlink ref="B57" location="'LAFs'!B13" display="2001. Loss adjustment factors to transmission"/>
    <hyperlink ref="B58" location="'LAFs'!B42" display="2002. Mapping of DRM network levels to core network levels"/>
    <hyperlink ref="B59" location="'LAFs'!B58" display="2003. Loss adjustment factor to transmission for each DRM network level"/>
    <hyperlink ref="B60" location="'LAFs'!B74" display="2004. Loss adjustment factor to transmission for each network level"/>
    <hyperlink ref="B61" location="'LAFs'!B82" display="2005. Network use factors"/>
    <hyperlink ref="B62" location="'LAFs'!B114" display="2006. Proportion going through 132kV/EHV"/>
    <hyperlink ref="B63" location="'LAFs'!B122" display="2007. Proportion going through EHV"/>
    <hyperlink ref="B64" location="'LAFs'!B130" display="2008. Proportion going through EHV/HV"/>
    <hyperlink ref="B65" location="'LAFs'!B143" display="2009. Rerouteing matrix for all network levels"/>
    <hyperlink ref="B66" location="'LAFs'!B160" display="2010. Network use factors: interim step in calculations before adjustments"/>
    <hyperlink ref="B67" location="'LAFs'!B194" display="2011. Network use factors for all tariffs"/>
    <hyperlink ref="B68" location="'LAFs'!B228" display="2012. Loss adjustment factors between end user meter reading and each network level, scaled by network use"/>
    <hyperlink ref="B69" location="'DRM'!B11" display="2101. Annuity rate"/>
    <hyperlink ref="B70" location="'DRM'!B20" display="2102. Loss adjustment factor to transmission for each core level"/>
    <hyperlink ref="B71" location="'DRM'!B30" display="2103. Loss adjustment factors"/>
    <hyperlink ref="B72" location="'DRM'!B47" display="2104. Diversity calculations"/>
    <hyperlink ref="B73" location="'DRM'!B63" display="2105. Network model total maximum demand at substation (MW)"/>
    <hyperlink ref="B74" location="'DRM'!B79" display="2106. Network model contribution to system maximum load measured at network level exit (MW)"/>
    <hyperlink ref="B75" location="'DRM'!B97" display="2107. Rerouteing matrix for DRM network levels"/>
    <hyperlink ref="B76" location="'DRM'!B112" display="2108. GSP simultaneous maximum load assumed through each network level (MW)"/>
    <hyperlink ref="B77" location="'DRM'!B129" display="2109. Network model annuity by simultaneous maximum load for each network level (£/kW/year)"/>
    <hyperlink ref="B78" location="'SM'!B10" display="2201. Asset £/customer from LV service models"/>
    <hyperlink ref="B79" location="'SM'!B32" display="2202. Asset £/(MWh/year) from LV service models"/>
    <hyperlink ref="B80" location="'SM'!B42" display="2203. Service model asset p/kWh charge for unmetered tariffs"/>
    <hyperlink ref="B81" location="'SM'!B51" display="2204. Asset £/customer from HV service models"/>
    <hyperlink ref="B82" location="'SM'!B63" display="2205. Service model assets by tariff (£)"/>
    <hyperlink ref="B83" location="'SM'!B101" display="2206. Replacement annuities for service models"/>
    <hyperlink ref="B84" location="'Loads'!B18" display="2301. Demand coefficient (load at time of system maximum load divided by average load)"/>
    <hyperlink ref="B85" location="'Loads'!B43" display="2302. Load coefficient"/>
    <hyperlink ref="B86" location="'Loads'!B72" display="2303. Discount map"/>
    <hyperlink ref="B87" location="'Loads'!B179" display="2304. LDNO discounts and volumes adjusted for discount"/>
    <hyperlink ref="B88" location="'Loads'!B281" display="2305. Equivalent volume for each end user"/>
    <hyperlink ref="B89" location="'Multi'!B12" display="2401. Adjust annual hours by distribution time band to match days in year"/>
    <hyperlink ref="B90" location="'Multi'!B25" display="2402. Normalisation of split of rate 1 units by time band"/>
    <hyperlink ref="B91" location="'Multi'!B40" display="2403. Split of rate 1 units between distribution time bands"/>
    <hyperlink ref="B92" location="'Multi'!B65" display="2404. Normalisation of split of rate 2 units by time band"/>
    <hyperlink ref="B93" location="'Multi'!B78" display="2405. Split of rate 2 units between distribution time bands"/>
    <hyperlink ref="B94" location="'Multi'!B93" display="2406. Split of rate 3 units between distribution time bands (default)"/>
    <hyperlink ref="B95" location="'Multi'!B108" display="2407. All units (MWh)"/>
    <hyperlink ref="B96" location="'Multi'!B149" display="2408. Calculation of implied load coefficients for two-rate users"/>
    <hyperlink ref="B97" location="'Multi'!B172" display="2409. Calculation of implied load coefficients for three-rate users"/>
    <hyperlink ref="B98" location="'Multi'!B186" display="2410. Calculation of adjusted time band load coefficients"/>
    <hyperlink ref="B99" location="'Multi'!B211" display="2411. Normalisation of peaking probabilities"/>
    <hyperlink ref="B100" location="'Multi'!B227" display="2412. Peaking probabilities by network level (reshaped)"/>
    <hyperlink ref="B101" location="'Multi'!B238" display="2413. Pseudo load coefficient by time band and network level"/>
    <hyperlink ref="B102" location="'Multi'!B259" display="2414. Unit rate 1 pseudo load coefficient by network level"/>
    <hyperlink ref="B103" location="'Multi'!B280" display="2415. Unit rate 2 pseudo load coefficient by network level"/>
    <hyperlink ref="B104" location="'Multi'!B299" display="2416. Unit rate 3 pseudo load coefficient by network level"/>
    <hyperlink ref="B105" location="'Multi'!B316" display="2417. Adjust annual hours by special distribution time band to match days in year"/>
    <hyperlink ref="B106" location="'Multi'!B329" display="2418. Normalisation of split of rate 1 units by special time band"/>
    <hyperlink ref="B107" location="'Multi'!B341" display="2419. Split of rate 1 units between special distribution time bands"/>
    <hyperlink ref="B108" location="'Multi'!B350" display="2420. Split of rate 2 units between special distribution time bands (default)"/>
    <hyperlink ref="B109" location="'Multi'!B355" display="2421. Split of rate 3 units between special distribution time bands (default)"/>
    <hyperlink ref="B110" location="'Multi'!B370" display="2422. Calculation of implied special load coefficients for one-rate users"/>
    <hyperlink ref="B111" location="'Multi'!B392" display="2423. Calculation of implied special load coefficients for three-rate users"/>
    <hyperlink ref="B112" location="'Multi'!B406" display="2424. Estimated contributions to peak demand"/>
    <hyperlink ref="B113" location="'Multi'!B415" display="2425. Mapping of tariffs to tariff groups for coincidence adjustment factor"/>
    <hyperlink ref="B114" location="'Multi'!B428" display="2426. Group contribution to first-band peak kW"/>
    <hyperlink ref="B115" location="'Multi'!B437" display="2427. Group contribution to system-peak-time kW"/>
    <hyperlink ref="B116" location="'Multi'!B446" display="2428. Load coefficient correction factor for each group"/>
    <hyperlink ref="B117" location="'Multi'!B455" display="2429. Load coefficient correction factor (based on group)"/>
    <hyperlink ref="B118" location="'Multi'!B477" display="2430. Calculation of special peaking probabilities"/>
    <hyperlink ref="B119" location="'Multi'!B495" display="2431. Special peaking probabilities by network level"/>
    <hyperlink ref="B120" location="'Multi'!B511" display="2432. Special peaking probabilities by network level (reshaped)"/>
    <hyperlink ref="B121" location="'Multi'!B522" display="2433. Pseudo load coefficient by time band and network level"/>
    <hyperlink ref="B122" location="'Multi'!B535" display="2434. Unit rate 1 pseudo load coefficient by network level (special)"/>
    <hyperlink ref="B123" location="'Multi'!B548" display="2435. Unit rate 2 pseudo load coefficient by network level (special)"/>
    <hyperlink ref="B124" location="'Multi'!B557" display="2436. Unit rate 3 pseudo load coefficient by network level (special)"/>
    <hyperlink ref="B125" location="'Multi'!B566" display="2437. Unit rate 1 pseudo load coefficient by network level (combined)"/>
    <hyperlink ref="B126" location="'Multi'!B592" display="2438. Unit rate 2 pseudo load coefficient by network level (combined)"/>
    <hyperlink ref="B127" location="'Multi'!B612" display="2439. Unit rate 3 pseudo load coefficient by network level (combined)"/>
    <hyperlink ref="B128" location="'SMD'!B11" display="2501. Contributions of users on one-rate multi tariffs to system simultaneous maximum load by network level (kW)"/>
    <hyperlink ref="B129" location="'SMD'!B29" display="2502. Contributions of users on two-rate multi tariffs to system simultaneous maximum load by network level (kW)"/>
    <hyperlink ref="B130" location="'SMD'!B48" display="2503. Contributions of users on three-rate multi tariffs to system simultaneous maximum load by network level (kW)"/>
    <hyperlink ref="B131" location="'SMD'!B65" display="2504. Estimated contributions of users on each tariff to system simultaneous maximum load by network level (kW)"/>
    <hyperlink ref="B132" location="'SMD'!B100" display="2505. Contributions of users on each tariff to system simultaneous maximum load by network level (kW)"/>
    <hyperlink ref="B133" location="'SMD'!B132" display="2506. Forecast system simultaneous maximum load (kW) from forecast units"/>
    <hyperlink ref="B134" location="'AMD'!B12" display="2601. Pre-processing of data for standing charge factors"/>
    <hyperlink ref="B135" location="'AMD'!B38" display="2602. Standing charges factors adapted to use 132kV/HV"/>
    <hyperlink ref="B136" location="'AMD'!B65" display="2603. Capacity-based contributions to chargeable aggregate maximum load by network level (kW)"/>
    <hyperlink ref="B137" location="'AMD'!B79" display="2604. Unit-based contributions to chargeable aggregate maximum load (kW)"/>
    <hyperlink ref="B138" location="'AMD'!B104" display="2605. Contributions to aggregate maximum load by network level (kW)"/>
    <hyperlink ref="B139" location="'AMD'!B126" display="2606. Forecast chargeable aggregate maximum load (kW)"/>
    <hyperlink ref="B140" location="'AMD'!B135" display="2607. Forecast simultaneous load subject to standing charge factors (kW)"/>
    <hyperlink ref="B141" location="'AMD'!B159" display="2608. Forecast simultaneous load replaced by standing charge (kW)"/>
    <hyperlink ref="B142" location="'AMD'!B168" display="2609. Calculated LV diversity allowance"/>
    <hyperlink ref="B143" location="'AMD'!B173" display="2610. Network level mapping for diversity allowances"/>
    <hyperlink ref="B144" location="'AMD'!B189" display="2611. Diversity allowances including 132kV/HV"/>
    <hyperlink ref="B145" location="'AMD'!B206" display="2612. Diversity allowances (including calculated LV value)"/>
    <hyperlink ref="B146" location="'AMD'!B217" display="2613. Forecast simultaneous maximum load (kW) adjusted for standing charges"/>
    <hyperlink ref="B147" location="'Otex'!B9" display="2701. Operating expenditure coded by network level (£/year)"/>
    <hyperlink ref="B148" location="'Otex'!B19" display="2702. Network model assets (£) scaled by load forecast"/>
    <hyperlink ref="B149" location="'Otex'!B27" display="2703. Annual consumption by tariff for unmetered users (MWh)"/>
    <hyperlink ref="B150" location="'Otex'!B39" display="2704. Total unmetered units"/>
    <hyperlink ref="B151" location="'Otex'!B55" display="2705. Service model asset data"/>
    <hyperlink ref="B152" location="'Otex'!B67" display="2706. Data for allocation of operating expenditure"/>
    <hyperlink ref="B153" location="'Otex'!B78" display="2707. Amount of expenditure to be allocated according to asset values (£/year)"/>
    <hyperlink ref="B154" location="'Otex'!B89" display="2708. Total operating expenditure by network level  (£/year)"/>
    <hyperlink ref="B155" location="'Otex'!B98" display="2709. Operating expenditure percentage by network level"/>
    <hyperlink ref="B156" location="'Otex'!B107" display="2710. Unit operating expenditure based on simultaneous maximum load (£/kW/year)"/>
    <hyperlink ref="B157" location="'Otex'!B120" display="2711. Operating expenditure for customer assets p/MPAN/day"/>
    <hyperlink ref="B158" location="'Otex'!B153" display="2712. Operating expenditure for unmetered customer assets (p/kWh)"/>
    <hyperlink ref="B159" location="'Contrib'!B6" display="2801. Network level of supply (for customer contributions) by tariff"/>
    <hyperlink ref="B160" location="'Contrib'!B39" display="2802. Contribution proportion of asset annuities, by customer type and network level of assets"/>
    <hyperlink ref="B161" location="'Contrib'!B55" display="2803. Proportion of assets annuities deemed to be covered by customer contributions"/>
    <hyperlink ref="B162" location="'Contrib'!B89" display="2804. Proportion of annual charge covered by contributions (for all charging levels)"/>
    <hyperlink ref="B163" location="'Yard'!B10" display="2901. Unit cost at each level, £/kW/year (relative to system simultaneous maximum load)"/>
    <hyperlink ref="B164" location="'Yard'!B22" display="2902. Pay-as-you-go yardstick unit costs by charging level (p/kWh)"/>
    <hyperlink ref="B165" location="'Yard'!B58" display="2903. Contributions to pay-as-you-go unit rate 1 (p/kWh)"/>
    <hyperlink ref="B166" location="'Yard'!B87" display="2904. Contributions to pay-as-you-go unit rate 2 (p/kWh)"/>
    <hyperlink ref="B167" location="'Yard'!B110" display="2905. Contributions to pay-as-you-go unit rate 3 (p/kWh)"/>
    <hyperlink ref="B168" location="'Standing'!B10" display="3001. Costs based on aggregate maximum load (£/kW/year)"/>
    <hyperlink ref="B169" location="'Standing'!B24" display="3002. Capacity elements p/kVA/day"/>
    <hyperlink ref="B170" location="'Standing'!B49" display="3003. Yardstick components p/kWh (taking account of standing charges)"/>
    <hyperlink ref="B171" location="'Standing'!B74" display="3004. Contributions to unit rate 1 p/kWh by network level (taking account of standing charges)"/>
    <hyperlink ref="B172" location="'Standing'!B97" display="3005. Contributions to unit rate 2 p/kWh by network level (taking account of standing charges)"/>
    <hyperlink ref="B173" location="'Standing'!B114" display="3006. Contributions to unit rate 3 p/kWh by network level (taking account of standing charges)"/>
    <hyperlink ref="B174" location="'NHH'!B13" display="3101. Average maximum kVA/MPAN by end user class, for user classes without an agreed import capacity"/>
    <hyperlink ref="B175" location="'NHH'!B28" display="3102. Capacity-driven fixed charge elements from standing charges factors p/MPAN/day"/>
    <hyperlink ref="B176" location="'NHH'!B48" display="3103. Statistics for tariffs charged for LV circuits on an exit point basis"/>
    <hyperlink ref="B177" location="'NHH'!B65" display="3104. Aggregate data for tariffs charged for LV circuits on an exit point basis"/>
    <hyperlink ref="B178" location="'NHH'!B74" display="3105. LV fixed charge elements from standing charges factors p/MPAN/day"/>
    <hyperlink ref="B179" location="'NHH'!B87" display="3106. Fixed charge elements from standing charges factors p/MPAN/day"/>
    <hyperlink ref="B180" location="'Reactive'!B8" display="3201. Standard components p/kWh for reactive power (absolute value)"/>
    <hyperlink ref="B181" location="'Reactive'!B20" display="3202. Standard reactive p/kVArh"/>
    <hyperlink ref="B182" location="'Reactive'!B29" display="3203. Network use factors for generator reactive unit charges"/>
    <hyperlink ref="B183" location="'Reactive'!B42" display="3204. Absolute value of load coefficient (kW peak / average kW)"/>
    <hyperlink ref="B184" location="'Reactive'!B61" display="3205. Pay-as-you-go components p/kWh for reactive power (absolute value)"/>
    <hyperlink ref="B185" location="'Reactive'!B76" display="3206. Pay-as-you-go reactive p/kVArh"/>
    <hyperlink ref="B186" location="'Aggreg'!B15" display="3301. Unit rate 1 p/kWh (elements)"/>
    <hyperlink ref="B187" location="'Aggreg'!B51" display="3302. Unit rate 2 p/kWh (elements)"/>
    <hyperlink ref="B188" location="'Aggreg'!B87" display="3303. Unit rate 3 p/kWh (elements)"/>
    <hyperlink ref="B189" location="'Aggreg'!B123" display="3304. Fixed charge p/MPAN/day (elements)"/>
    <hyperlink ref="B190" location="'Aggreg'!B155" display="3305. Capacity charge p/kVA/day (elements)"/>
    <hyperlink ref="B191" location="'Aggreg'!B188" display="3306. Reactive power charge p/kVArh (elements)"/>
    <hyperlink ref="B192" location="'Aggreg'!B226" display="3307. Summary of charges before revenue matching"/>
    <hyperlink ref="B193" location="'Revenue'!B20" display="3401. Net revenues by tariff before matching (£)"/>
    <hyperlink ref="B194" location="'Revenue'!B52" display="3402. Target CDCM revenue (£/year)"/>
    <hyperlink ref="B195" location="'Revenue'!B63" display="3403. Revenue surplus or shortfall"/>
    <hyperlink ref="B196" location="'Adder'!B22" display="3501. Analysis of annual revenue by tariff before matching (£/year)"/>
    <hyperlink ref="B197" location="'Adder'!B58" display="3502. Analysis of total annual revenue before matching (£/year)"/>
    <hyperlink ref="B198" location="'Adder'!B71" display="3503. Allocation of matching revenue target (£/year)"/>
    <hyperlink ref="B199" location="'Adder'!B83" display="3504. Adder value at which the minimum is breached"/>
    <hyperlink ref="B200" location="'Adder'!B119" display="3505. Marginal revenue effect of adder"/>
    <hyperlink ref="B201" location="'Adder'!B154" display="3506. Constraint-free solution"/>
    <hyperlink ref="B202" location="'Adder'!B165" display="3507. Starting point"/>
    <hyperlink ref="B203" location="'Adder'!B194" display="3508. Solve for General adder rate (p/kWh)"/>
    <hyperlink ref="B204" location="'Adder'!B277" display="3509. General adder rate (p/kWh)"/>
    <hyperlink ref="B205" location="'Adder'!B286" display="3510. Adder value at which the minimum is breached"/>
    <hyperlink ref="B206" location="'Adder'!B321" display="3511. Marginal revenue effect of adder"/>
    <hyperlink ref="B207" location="'Adder'!B354" display="3512. Constraint-free solution"/>
    <hyperlink ref="B208" location="'Adder'!B363" display="3513. Starting point"/>
    <hyperlink ref="B209" location="'Adder'!B388" display="3514. Solve for General adder rate (p/MPAN/day)"/>
    <hyperlink ref="B210" location="'Adder'!B421" display="3515. General adder rate (p/MPAN/day)"/>
    <hyperlink ref="B211" location="'Adder'!B431" display="3516. Adder value at which the minimum is breached"/>
    <hyperlink ref="B212" location="'Adder'!B466" display="3517. Marginal revenue effect of adder"/>
    <hyperlink ref="B213" location="'Adder'!B499" display="3518. Constraint-free solution"/>
    <hyperlink ref="B214" location="'Adder'!B508" display="3519. Starting point"/>
    <hyperlink ref="B215" location="'Adder'!B533" display="3520. Solve for General adder rate (p/kVA/day)"/>
    <hyperlink ref="B216" location="'Adder'!B566" display="3521. General adder rate (p/kVA/day)"/>
    <hyperlink ref="B217" location="'Adder'!B575" display="3522. Adder value at which the minimum is breached"/>
    <hyperlink ref="B218" location="'Adder'!B608" display="3523. Marginal revenue effect of adder"/>
    <hyperlink ref="B219" location="'Adder'!B641" display="3524. Constraint-free solution"/>
    <hyperlink ref="B220" location="'Adder'!B650" display="3525. Starting point"/>
    <hyperlink ref="B221" location="'Adder'!B675" display="3526. Solve for General adder rate (p/kVArh)"/>
    <hyperlink ref="B222" location="'Adder'!B708" display="3527. General adder rate (p/kVArh)"/>
    <hyperlink ref="B223" location="'Adder'!B741" display="3528. Adder"/>
    <hyperlink ref="B224" location="'Adjust'!B20" display="3601. Tariffs before rounding"/>
    <hyperlink ref="B225" location="'Adjust'!B49" display="3602. Decimal places"/>
    <hyperlink ref="B226" location="'Adjust'!B69" display="3603. Tariff rounding"/>
    <hyperlink ref="B227" location="'Adjust'!B113" display="3604. All the way tariffs"/>
    <hyperlink ref="B228" location="'Adjust'!B157" display="3605. Net revenues by tariff from rounding"/>
    <hyperlink ref="B229" location="'Adjust'!B197" display="3606. Revenue forecast summary"/>
    <hyperlink ref="B230" location="'Adjust'!B213" display="3607. Tariffs"/>
    <hyperlink ref="B231" location="'Tariffs'!B14" display="3701. Tariffs"/>
    <hyperlink ref="B232" location="'Summary'!B22" display="3801. Workbook build options and main parameters"/>
    <hyperlink ref="B233" location="'Summary'!B53" display="3802. Revenue summary"/>
    <hyperlink ref="B234" location="'Summary'!B156" display="3803. Revenue summary by tariff component"/>
    <hyperlink ref="B235" location="'M-Rev'!B7" display="3901. Revenue matrix by tariff"/>
    <hyperlink ref="B236" location="'M-Rev'!B37" display="3902. Revenues by charging element and network level"/>
    <hyperlink ref="B237" location="'CData'!B22" display="4001. Revenues under current tariffs (£)"/>
    <hyperlink ref="B238" location="'CData'!B53" display="4002. All-the-way volumes"/>
    <hyperlink ref="B239" location="'CData'!B82" display="4003. Normalised to"/>
    <hyperlink ref="B240" location="'CData'!B135" display="4004. Normalised volumes for comparisons"/>
    <hyperlink ref="B241" location="'CData'!B231" display="4005. LDNO LV charges (normalised £)"/>
    <hyperlink ref="B242" location="'CData'!B261" display="4006. LDNO HV charges (normalised £)"/>
    <hyperlink ref="B243" location="'CTables'!B13" display="4101. Comparison with current all-the-way demand tariffs"/>
    <hyperlink ref="B244" location="'CTables'!B42" display="4102. LDNO margins in use of system charges"/>
    <hyperlink ref="B245" location="'M-ATW'!A0" display="Tariff matrices"/>
  </hyperlinks>
  <pageMargins left="0.7" right="0.7" top="0.75" bottom="0.75" header="0.3" footer="0.3"/>
  <pageSetup fitToHeight="2" orientation="portrait"/>
  <headerFooter>
    <oddHeader>&amp;L&amp;A&amp;Cr6432&amp;R&amp;P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3">
      <c r="A1" s="1">
        <f>"Other expenditure"&amp;" for "&amp;'Input'!B7&amp;" in "&amp;'Input'!C7&amp;" ("&amp;'Input'!D7&amp;")"</f>
        <v>0</v>
      </c>
    </row>
    <row r="3" spans="1:13">
      <c r="A3" s="1" t="s">
        <v>807</v>
      </c>
    </row>
    <row r="4" spans="1:13">
      <c r="A4" s="2" t="s">
        <v>349</v>
      </c>
    </row>
    <row r="5" spans="1:13">
      <c r="A5" s="12" t="s">
        <v>808</v>
      </c>
    </row>
    <row r="6" spans="1:13">
      <c r="A6" s="2" t="s">
        <v>809</v>
      </c>
    </row>
    <row r="7" spans="1:13">
      <c r="A7" s="2" t="s">
        <v>367</v>
      </c>
    </row>
    <row r="9" spans="1:13">
      <c r="B9" s="3" t="s">
        <v>292</v>
      </c>
      <c r="C9" s="3" t="s">
        <v>810</v>
      </c>
      <c r="D9" s="3" t="s">
        <v>811</v>
      </c>
      <c r="E9" s="3" t="s">
        <v>812</v>
      </c>
      <c r="F9" s="3" t="s">
        <v>813</v>
      </c>
      <c r="G9" s="3" t="s">
        <v>814</v>
      </c>
      <c r="H9" s="3" t="s">
        <v>815</v>
      </c>
      <c r="I9" s="3" t="s">
        <v>816</v>
      </c>
      <c r="J9" s="3" t="s">
        <v>817</v>
      </c>
      <c r="K9" s="3" t="s">
        <v>818</v>
      </c>
      <c r="L9" s="3" t="s">
        <v>819</v>
      </c>
    </row>
    <row r="10" spans="1:13">
      <c r="A10" s="11" t="s">
        <v>820</v>
      </c>
      <c r="B10" s="33">
        <f>'Input'!$B276</f>
        <v>0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10"/>
    </row>
    <row r="12" spans="1:13">
      <c r="A12" s="1" t="s">
        <v>821</v>
      </c>
    </row>
    <row r="13" spans="1:13">
      <c r="A13" s="2" t="s">
        <v>349</v>
      </c>
    </row>
    <row r="14" spans="1:13">
      <c r="A14" s="12" t="s">
        <v>444</v>
      </c>
    </row>
    <row r="15" spans="1:13">
      <c r="A15" s="12" t="s">
        <v>822</v>
      </c>
    </row>
    <row r="16" spans="1:13">
      <c r="A16" s="12" t="s">
        <v>823</v>
      </c>
    </row>
    <row r="17" spans="1:10">
      <c r="A17" s="2" t="s">
        <v>824</v>
      </c>
    </row>
    <row r="19" spans="1:10">
      <c r="B19" s="3" t="s">
        <v>304</v>
      </c>
      <c r="C19" s="3" t="s">
        <v>305</v>
      </c>
      <c r="D19" s="3" t="s">
        <v>306</v>
      </c>
      <c r="E19" s="3" t="s">
        <v>307</v>
      </c>
      <c r="F19" s="3" t="s">
        <v>308</v>
      </c>
      <c r="G19" s="3" t="s">
        <v>309</v>
      </c>
      <c r="H19" s="3" t="s">
        <v>310</v>
      </c>
      <c r="I19" s="3" t="s">
        <v>311</v>
      </c>
    </row>
    <row r="20" spans="1:10">
      <c r="A20" s="11" t="s">
        <v>825</v>
      </c>
      <c r="B20" s="17">
        <f>IF('DRM'!$B$113,'AMD'!$C218*'Input'!$B$90/'DRM'!$B$113/1000,0)</f>
        <v>0</v>
      </c>
      <c r="C20" s="17">
        <f>IF('DRM'!$B$114,'AMD'!$D218*'Input'!$B$91/'DRM'!$B$114/1000,0)</f>
        <v>0</v>
      </c>
      <c r="D20" s="17">
        <f>IF('DRM'!$B$115,'AMD'!$E218*'Input'!$B$92/'DRM'!$B$115/1000,0)</f>
        <v>0</v>
      </c>
      <c r="E20" s="17">
        <f>IF('DRM'!$B$116,'AMD'!$F218*'Input'!$B$93/'DRM'!$B$116/1000,0)</f>
        <v>0</v>
      </c>
      <c r="F20" s="17">
        <f>IF('DRM'!$B$117,'AMD'!$G218*'Input'!$B$94/'DRM'!$B$117/1000,0)</f>
        <v>0</v>
      </c>
      <c r="G20" s="17">
        <f>IF('DRM'!$B$118,'AMD'!$H218*'Input'!$B$95/'DRM'!$B$118/1000,0)</f>
        <v>0</v>
      </c>
      <c r="H20" s="17">
        <f>IF('DRM'!$B$119,'AMD'!$I218*'Input'!$B$96/'DRM'!$B$119/1000,0)</f>
        <v>0</v>
      </c>
      <c r="I20" s="17">
        <f>IF('DRM'!$B$120,'AMD'!$J218*'Input'!$B$97/'DRM'!$B$120/1000,0)</f>
        <v>0</v>
      </c>
      <c r="J20" s="10"/>
    </row>
    <row r="22" spans="1:10">
      <c r="A22" s="1" t="s">
        <v>826</v>
      </c>
    </row>
    <row r="23" spans="1:10">
      <c r="A23" s="2" t="s">
        <v>349</v>
      </c>
    </row>
    <row r="24" spans="1:10">
      <c r="A24" s="12" t="s">
        <v>572</v>
      </c>
    </row>
    <row r="25" spans="1:10">
      <c r="A25" s="2" t="s">
        <v>827</v>
      </c>
    </row>
    <row r="27" spans="1:10">
      <c r="B27" s="3" t="s">
        <v>828</v>
      </c>
    </row>
    <row r="28" spans="1:10">
      <c r="A28" s="11" t="s">
        <v>212</v>
      </c>
      <c r="B28" s="33">
        <f>'Multi'!B$121</f>
        <v>0</v>
      </c>
      <c r="C28" s="10"/>
    </row>
    <row r="29" spans="1:10">
      <c r="A29" s="11" t="s">
        <v>213</v>
      </c>
      <c r="B29" s="33">
        <f>'Multi'!B$122</f>
        <v>0</v>
      </c>
      <c r="C29" s="10"/>
    </row>
    <row r="30" spans="1:10">
      <c r="A30" s="11" t="s">
        <v>214</v>
      </c>
      <c r="B30" s="33">
        <f>'Multi'!B$123</f>
        <v>0</v>
      </c>
      <c r="C30" s="10"/>
    </row>
    <row r="31" spans="1:10">
      <c r="A31" s="11" t="s">
        <v>215</v>
      </c>
      <c r="B31" s="33">
        <f>'Multi'!B$124</f>
        <v>0</v>
      </c>
      <c r="C31" s="10"/>
    </row>
    <row r="32" spans="1:10">
      <c r="A32" s="11" t="s">
        <v>216</v>
      </c>
      <c r="B32" s="33">
        <f>'Multi'!B$125</f>
        <v>0</v>
      </c>
      <c r="C32" s="10"/>
    </row>
    <row r="34" spans="1:3">
      <c r="A34" s="1" t="s">
        <v>829</v>
      </c>
    </row>
    <row r="35" spans="1:3">
      <c r="A35" s="2" t="s">
        <v>349</v>
      </c>
    </row>
    <row r="36" spans="1:3">
      <c r="A36" s="12" t="s">
        <v>830</v>
      </c>
    </row>
    <row r="37" spans="1:3">
      <c r="A37" s="2" t="s">
        <v>753</v>
      </c>
    </row>
    <row r="39" spans="1:3">
      <c r="B39" s="3" t="s">
        <v>831</v>
      </c>
    </row>
    <row r="40" spans="1:3">
      <c r="A40" s="11" t="s">
        <v>831</v>
      </c>
      <c r="B40" s="17">
        <f>SUM(B$28:B$32)</f>
        <v>0</v>
      </c>
      <c r="C40" s="10"/>
    </row>
    <row r="42" spans="1:3">
      <c r="A42" s="1" t="s">
        <v>832</v>
      </c>
    </row>
    <row r="43" spans="1:3">
      <c r="A43" s="2" t="s">
        <v>349</v>
      </c>
    </row>
    <row r="44" spans="1:3">
      <c r="A44" s="12" t="s">
        <v>833</v>
      </c>
    </row>
    <row r="45" spans="1:3">
      <c r="A45" s="12" t="s">
        <v>834</v>
      </c>
    </row>
    <row r="46" spans="1:3">
      <c r="A46" s="12" t="s">
        <v>835</v>
      </c>
    </row>
    <row r="47" spans="1:3">
      <c r="A47" s="12" t="s">
        <v>836</v>
      </c>
    </row>
    <row r="48" spans="1:3">
      <c r="A48" s="12" t="s">
        <v>837</v>
      </c>
    </row>
    <row r="49" spans="1:13">
      <c r="A49" s="12" t="s">
        <v>838</v>
      </c>
    </row>
    <row r="50" spans="1:13">
      <c r="A50" s="12" t="s">
        <v>839</v>
      </c>
    </row>
    <row r="51" spans="1:13">
      <c r="A51" s="26" t="s">
        <v>352</v>
      </c>
      <c r="B51" s="26" t="s">
        <v>354</v>
      </c>
      <c r="C51" s="26"/>
      <c r="D51" s="26" t="s">
        <v>482</v>
      </c>
      <c r="E51" s="26" t="s">
        <v>411</v>
      </c>
      <c r="F51" s="26"/>
      <c r="G51" s="26" t="s">
        <v>482</v>
      </c>
      <c r="H51" s="26"/>
    </row>
    <row r="52" spans="1:13">
      <c r="A52" s="26" t="s">
        <v>355</v>
      </c>
      <c r="B52" s="26" t="s">
        <v>357</v>
      </c>
      <c r="C52" s="26"/>
      <c r="D52" s="26" t="s">
        <v>840</v>
      </c>
      <c r="E52" s="26" t="s">
        <v>841</v>
      </c>
      <c r="F52" s="26"/>
      <c r="G52" s="26" t="s">
        <v>842</v>
      </c>
      <c r="H52" s="26"/>
    </row>
    <row r="54" spans="1:13">
      <c r="B54" s="25" t="s">
        <v>843</v>
      </c>
      <c r="C54" s="25"/>
      <c r="E54" s="25" t="s">
        <v>844</v>
      </c>
      <c r="F54" s="25"/>
      <c r="G54" s="25" t="s">
        <v>845</v>
      </c>
      <c r="H54" s="25"/>
    </row>
    <row r="55" spans="1:13">
      <c r="B55" s="3" t="s">
        <v>461</v>
      </c>
      <c r="C55" s="3" t="s">
        <v>473</v>
      </c>
      <c r="D55" s="3" t="s">
        <v>844</v>
      </c>
      <c r="E55" s="3" t="s">
        <v>461</v>
      </c>
      <c r="F55" s="3" t="s">
        <v>473</v>
      </c>
      <c r="G55" s="3" t="s">
        <v>461</v>
      </c>
      <c r="H55" s="3" t="s">
        <v>473</v>
      </c>
    </row>
    <row r="56" spans="1:13">
      <c r="A56" s="11" t="s">
        <v>846</v>
      </c>
      <c r="B56" s="17">
        <f>SUMPRODUCT('SM'!B$64:B$88,'Loads'!$E$282:$E$306)</f>
        <v>0</v>
      </c>
      <c r="C56" s="17">
        <f>SUMPRODUCT('SM'!C$64:C$88,'Loads'!$E$282:$E$306)</f>
        <v>0</v>
      </c>
      <c r="D56" s="17">
        <f>'SM'!B33*$B40</f>
        <v>0</v>
      </c>
      <c r="E56" s="33">
        <f>$D56</f>
        <v>0</v>
      </c>
      <c r="F56" s="9"/>
      <c r="G56" s="17">
        <f>B56+E56</f>
        <v>0</v>
      </c>
      <c r="H56" s="17">
        <f>C56+F56</f>
        <v>0</v>
      </c>
      <c r="I56" s="10"/>
    </row>
    <row r="58" spans="1:13">
      <c r="A58" s="1" t="s">
        <v>847</v>
      </c>
    </row>
    <row r="59" spans="1:13">
      <c r="A59" s="2" t="s">
        <v>349</v>
      </c>
    </row>
    <row r="60" spans="1:13">
      <c r="A60" s="12" t="s">
        <v>848</v>
      </c>
    </row>
    <row r="61" spans="1:13">
      <c r="A61" s="12" t="s">
        <v>849</v>
      </c>
    </row>
    <row r="62" spans="1:13">
      <c r="A62" s="12" t="s">
        <v>850</v>
      </c>
    </row>
    <row r="63" spans="1:13">
      <c r="A63" s="26" t="s">
        <v>352</v>
      </c>
      <c r="B63" s="2" t="s">
        <v>516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6" t="s">
        <v>483</v>
      </c>
    </row>
    <row r="64" spans="1:13">
      <c r="A64" s="26" t="s">
        <v>355</v>
      </c>
      <c r="B64" s="2" t="s">
        <v>599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6" t="s">
        <v>535</v>
      </c>
    </row>
    <row r="66" spans="1:14">
      <c r="B66" s="27" t="s">
        <v>851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1:14">
      <c r="B67" s="3" t="s">
        <v>140</v>
      </c>
      <c r="C67" s="3" t="s">
        <v>304</v>
      </c>
      <c r="D67" s="3" t="s">
        <v>305</v>
      </c>
      <c r="E67" s="3" t="s">
        <v>306</v>
      </c>
      <c r="F67" s="3" t="s">
        <v>307</v>
      </c>
      <c r="G67" s="3" t="s">
        <v>308</v>
      </c>
      <c r="H67" s="3" t="s">
        <v>309</v>
      </c>
      <c r="I67" s="3" t="s">
        <v>310</v>
      </c>
      <c r="J67" s="3" t="s">
        <v>311</v>
      </c>
      <c r="K67" s="3" t="s">
        <v>461</v>
      </c>
      <c r="L67" s="3" t="s">
        <v>473</v>
      </c>
      <c r="M67" s="3" t="s">
        <v>852</v>
      </c>
    </row>
    <row r="68" spans="1:14">
      <c r="A68" s="11" t="s">
        <v>853</v>
      </c>
      <c r="B68" s="9"/>
      <c r="C68" s="33">
        <f>$B20</f>
        <v>0</v>
      </c>
      <c r="D68" s="33">
        <f>$C20</f>
        <v>0</v>
      </c>
      <c r="E68" s="33">
        <f>$D20</f>
        <v>0</v>
      </c>
      <c r="F68" s="33">
        <f>$E20</f>
        <v>0</v>
      </c>
      <c r="G68" s="33">
        <f>$F20</f>
        <v>0</v>
      </c>
      <c r="H68" s="33">
        <f>$G20</f>
        <v>0</v>
      </c>
      <c r="I68" s="33">
        <f>$H20</f>
        <v>0</v>
      </c>
      <c r="J68" s="33">
        <f>$I20</f>
        <v>0</v>
      </c>
      <c r="K68" s="33">
        <f>$G56</f>
        <v>0</v>
      </c>
      <c r="L68" s="33">
        <f>$H56</f>
        <v>0</v>
      </c>
      <c r="M68" s="33">
        <f>SUM($B68:$L68)</f>
        <v>0</v>
      </c>
      <c r="N68" s="10"/>
    </row>
    <row r="70" spans="1:14">
      <c r="A70" s="1" t="s">
        <v>854</v>
      </c>
    </row>
    <row r="71" spans="1:14">
      <c r="A71" s="2" t="s">
        <v>349</v>
      </c>
    </row>
    <row r="72" spans="1:14">
      <c r="A72" s="12" t="s">
        <v>855</v>
      </c>
    </row>
    <row r="73" spans="1:14">
      <c r="A73" s="12" t="s">
        <v>856</v>
      </c>
    </row>
    <row r="74" spans="1:14">
      <c r="A74" s="12" t="s">
        <v>857</v>
      </c>
    </row>
    <row r="75" spans="1:14">
      <c r="A75" s="12" t="s">
        <v>858</v>
      </c>
    </row>
    <row r="76" spans="1:14">
      <c r="A76" s="2" t="s">
        <v>859</v>
      </c>
    </row>
    <row r="78" spans="1:14">
      <c r="B78" s="3" t="s">
        <v>860</v>
      </c>
    </row>
    <row r="79" spans="1:14">
      <c r="A79" s="11" t="s">
        <v>299</v>
      </c>
      <c r="B79" s="17">
        <f>'Input'!B281+'Input'!E281+'Input'!C281*'Input'!D281</f>
        <v>0</v>
      </c>
      <c r="C79" s="10"/>
    </row>
    <row r="81" spans="1:13">
      <c r="A81" s="1" t="s">
        <v>861</v>
      </c>
    </row>
    <row r="82" spans="1:13">
      <c r="A82" s="2" t="s">
        <v>349</v>
      </c>
    </row>
    <row r="83" spans="1:13">
      <c r="A83" s="12" t="s">
        <v>862</v>
      </c>
    </row>
    <row r="84" spans="1:13">
      <c r="A84" s="12" t="s">
        <v>863</v>
      </c>
    </row>
    <row r="85" spans="1:13">
      <c r="A85" s="12" t="s">
        <v>864</v>
      </c>
    </row>
    <row r="86" spans="1:13">
      <c r="A86" s="12" t="s">
        <v>865</v>
      </c>
    </row>
    <row r="87" spans="1:13">
      <c r="A87" s="2" t="s">
        <v>866</v>
      </c>
    </row>
    <row r="89" spans="1:13">
      <c r="B89" s="3" t="s">
        <v>292</v>
      </c>
      <c r="C89" s="3" t="s">
        <v>810</v>
      </c>
      <c r="D89" s="3" t="s">
        <v>811</v>
      </c>
      <c r="E89" s="3" t="s">
        <v>812</v>
      </c>
      <c r="F89" s="3" t="s">
        <v>813</v>
      </c>
      <c r="G89" s="3" t="s">
        <v>814</v>
      </c>
      <c r="H89" s="3" t="s">
        <v>815</v>
      </c>
      <c r="I89" s="3" t="s">
        <v>816</v>
      </c>
      <c r="J89" s="3" t="s">
        <v>817</v>
      </c>
      <c r="K89" s="3" t="s">
        <v>818</v>
      </c>
      <c r="L89" s="3" t="s">
        <v>819</v>
      </c>
    </row>
    <row r="90" spans="1:13">
      <c r="A90" s="11" t="s">
        <v>867</v>
      </c>
      <c r="B90" s="17">
        <f>B10+$B79/$M68*B68</f>
        <v>0</v>
      </c>
      <c r="C90" s="17">
        <f>C10+$B79/$M68*C68</f>
        <v>0</v>
      </c>
      <c r="D90" s="17">
        <f>D10+$B79/$M68*D68</f>
        <v>0</v>
      </c>
      <c r="E90" s="17">
        <f>E10+$B79/$M68*E68</f>
        <v>0</v>
      </c>
      <c r="F90" s="17">
        <f>F10+$B79/$M68*F68</f>
        <v>0</v>
      </c>
      <c r="G90" s="17">
        <f>G10+$B79/$M68*G68</f>
        <v>0</v>
      </c>
      <c r="H90" s="17">
        <f>H10+$B79/$M68*H68</f>
        <v>0</v>
      </c>
      <c r="I90" s="17">
        <f>I10+$B79/$M68*I68</f>
        <v>0</v>
      </c>
      <c r="J90" s="17">
        <f>J10+$B79/$M68*J68</f>
        <v>0</v>
      </c>
      <c r="K90" s="17">
        <f>K10+$B79/$M68*K68</f>
        <v>0</v>
      </c>
      <c r="L90" s="17">
        <f>L10+$B79/$M68*L68</f>
        <v>0</v>
      </c>
      <c r="M90" s="10"/>
    </row>
    <row r="92" spans="1:13">
      <c r="A92" s="1" t="s">
        <v>868</v>
      </c>
    </row>
    <row r="93" spans="1:13">
      <c r="A93" s="2" t="s">
        <v>349</v>
      </c>
    </row>
    <row r="94" spans="1:13">
      <c r="A94" s="12" t="s">
        <v>869</v>
      </c>
    </row>
    <row r="95" spans="1:13">
      <c r="A95" s="12" t="s">
        <v>870</v>
      </c>
    </row>
    <row r="96" spans="1:13">
      <c r="A96" s="2" t="s">
        <v>871</v>
      </c>
    </row>
    <row r="98" spans="1:13">
      <c r="B98" s="3" t="s">
        <v>292</v>
      </c>
      <c r="C98" s="3" t="s">
        <v>810</v>
      </c>
      <c r="D98" s="3" t="s">
        <v>811</v>
      </c>
      <c r="E98" s="3" t="s">
        <v>812</v>
      </c>
      <c r="F98" s="3" t="s">
        <v>813</v>
      </c>
      <c r="G98" s="3" t="s">
        <v>814</v>
      </c>
      <c r="H98" s="3" t="s">
        <v>815</v>
      </c>
      <c r="I98" s="3" t="s">
        <v>816</v>
      </c>
      <c r="J98" s="3" t="s">
        <v>817</v>
      </c>
      <c r="K98" s="3" t="s">
        <v>818</v>
      </c>
      <c r="L98" s="3" t="s">
        <v>819</v>
      </c>
    </row>
    <row r="99" spans="1:13">
      <c r="A99" s="11" t="s">
        <v>872</v>
      </c>
      <c r="B99" s="29">
        <f>IF(B68="","",IF(B68&gt;0,B90/B68,0))</f>
        <v>0</v>
      </c>
      <c r="C99" s="29">
        <f>IF(C68="","",IF(C68&gt;0,C90/C68,0))</f>
        <v>0</v>
      </c>
      <c r="D99" s="29">
        <f>IF(D68="","",IF(D68&gt;0,D90/D68,0))</f>
        <v>0</v>
      </c>
      <c r="E99" s="29">
        <f>IF(E68="","",IF(E68&gt;0,E90/E68,0))</f>
        <v>0</v>
      </c>
      <c r="F99" s="29">
        <f>IF(F68="","",IF(F68&gt;0,F90/F68,0))</f>
        <v>0</v>
      </c>
      <c r="G99" s="29">
        <f>IF(G68="","",IF(G68&gt;0,G90/G68,0))</f>
        <v>0</v>
      </c>
      <c r="H99" s="29">
        <f>IF(H68="","",IF(H68&gt;0,H90/H68,0))</f>
        <v>0</v>
      </c>
      <c r="I99" s="29">
        <f>IF(I68="","",IF(I68&gt;0,I90/I68,0))</f>
        <v>0</v>
      </c>
      <c r="J99" s="29">
        <f>IF(J68="","",IF(J68&gt;0,J90/J68,0))</f>
        <v>0</v>
      </c>
      <c r="K99" s="29">
        <f>IF(K68="","",IF(K68&gt;0,K90/K68,0))</f>
        <v>0</v>
      </c>
      <c r="L99" s="29">
        <f>IF(L68="","",IF(L68&gt;0,L90/L68,0))</f>
        <v>0</v>
      </c>
      <c r="M99" s="10"/>
    </row>
    <row r="101" spans="1:13">
      <c r="A101" s="1" t="s">
        <v>873</v>
      </c>
    </row>
    <row r="102" spans="1:13">
      <c r="A102" s="2" t="s">
        <v>349</v>
      </c>
    </row>
    <row r="103" spans="1:13">
      <c r="A103" s="12" t="s">
        <v>874</v>
      </c>
    </row>
    <row r="104" spans="1:13">
      <c r="A104" s="12" t="s">
        <v>870</v>
      </c>
    </row>
    <row r="105" spans="1:13">
      <c r="A105" s="2" t="s">
        <v>875</v>
      </c>
    </row>
    <row r="107" spans="1:13">
      <c r="B107" s="3" t="s">
        <v>292</v>
      </c>
      <c r="C107" s="3" t="s">
        <v>810</v>
      </c>
      <c r="D107" s="3" t="s">
        <v>811</v>
      </c>
      <c r="E107" s="3" t="s">
        <v>812</v>
      </c>
      <c r="F107" s="3" t="s">
        <v>813</v>
      </c>
      <c r="G107" s="3" t="s">
        <v>814</v>
      </c>
      <c r="H107" s="3" t="s">
        <v>815</v>
      </c>
      <c r="I107" s="3" t="s">
        <v>816</v>
      </c>
      <c r="J107" s="3" t="s">
        <v>817</v>
      </c>
    </row>
    <row r="108" spans="1:13">
      <c r="A108" s="11" t="s">
        <v>876</v>
      </c>
      <c r="B108" s="6">
        <f>IF('AMD'!B218&gt;0,$B90/'AMD'!B218,0)</f>
        <v>0</v>
      </c>
      <c r="C108" s="6">
        <f>IF('AMD'!C218&gt;0,$C90/'AMD'!C218,0)</f>
        <v>0</v>
      </c>
      <c r="D108" s="6">
        <f>IF('AMD'!D218&gt;0,$D90/'AMD'!D218,0)</f>
        <v>0</v>
      </c>
      <c r="E108" s="6">
        <f>IF('AMD'!E218&gt;0,$E90/'AMD'!E218,0)</f>
        <v>0</v>
      </c>
      <c r="F108" s="6">
        <f>IF('AMD'!F218&gt;0,$F90/'AMD'!F218,0)</f>
        <v>0</v>
      </c>
      <c r="G108" s="6">
        <f>IF('AMD'!G218&gt;0,$G90/'AMD'!G218,0)</f>
        <v>0</v>
      </c>
      <c r="H108" s="6">
        <f>IF('AMD'!H218&gt;0,$H90/'AMD'!H218,0)</f>
        <v>0</v>
      </c>
      <c r="I108" s="6">
        <f>IF('AMD'!I218&gt;0,$I90/'AMD'!I218,0)</f>
        <v>0</v>
      </c>
      <c r="J108" s="6">
        <f>IF('AMD'!J218&gt;0,$J90/'AMD'!J218,0)</f>
        <v>0</v>
      </c>
      <c r="K108" s="10"/>
    </row>
    <row r="110" spans="1:13">
      <c r="A110" s="1" t="s">
        <v>877</v>
      </c>
    </row>
    <row r="111" spans="1:13">
      <c r="A111" s="2" t="s">
        <v>349</v>
      </c>
    </row>
    <row r="112" spans="1:13">
      <c r="A112" s="12" t="s">
        <v>478</v>
      </c>
    </row>
    <row r="113" spans="1:5">
      <c r="A113" s="12" t="s">
        <v>878</v>
      </c>
    </row>
    <row r="114" spans="1:5">
      <c r="A114" s="12" t="s">
        <v>879</v>
      </c>
    </row>
    <row r="115" spans="1:5">
      <c r="A115" s="12" t="s">
        <v>880</v>
      </c>
    </row>
    <row r="116" spans="1:5">
      <c r="A116" s="26" t="s">
        <v>352</v>
      </c>
      <c r="B116" s="26" t="s">
        <v>482</v>
      </c>
      <c r="C116" s="26"/>
      <c r="D116" s="26" t="s">
        <v>483</v>
      </c>
    </row>
    <row r="117" spans="1:5">
      <c r="A117" s="26" t="s">
        <v>355</v>
      </c>
      <c r="B117" s="26" t="s">
        <v>881</v>
      </c>
      <c r="C117" s="26"/>
      <c r="D117" s="26" t="s">
        <v>536</v>
      </c>
    </row>
    <row r="119" spans="1:5">
      <c r="B119" s="25" t="s">
        <v>882</v>
      </c>
      <c r="C119" s="25"/>
    </row>
    <row r="120" spans="1:5">
      <c r="B120" s="3" t="s">
        <v>818</v>
      </c>
      <c r="C120" s="3" t="s">
        <v>819</v>
      </c>
      <c r="D120" s="3" t="s">
        <v>883</v>
      </c>
    </row>
    <row r="121" spans="1:5">
      <c r="A121" s="11" t="s">
        <v>172</v>
      </c>
      <c r="B121" s="6">
        <f>100/'Input'!$F$58*$K$99*'SM'!$B64</f>
        <v>0</v>
      </c>
      <c r="C121" s="6">
        <f>100/'Input'!$F$58*$L$99*'SM'!$C64</f>
        <v>0</v>
      </c>
      <c r="D121" s="6">
        <f>SUM($B121:$C121)</f>
        <v>0</v>
      </c>
      <c r="E121" s="10"/>
    </row>
    <row r="122" spans="1:5">
      <c r="A122" s="11" t="s">
        <v>173</v>
      </c>
      <c r="B122" s="6">
        <f>100/'Input'!$F$58*$K$99*'SM'!$B65</f>
        <v>0</v>
      </c>
      <c r="C122" s="6">
        <f>100/'Input'!$F$58*$L$99*'SM'!$C65</f>
        <v>0</v>
      </c>
      <c r="D122" s="6">
        <f>SUM($B122:$C122)</f>
        <v>0</v>
      </c>
      <c r="E122" s="10"/>
    </row>
    <row r="123" spans="1:5">
      <c r="A123" s="11" t="s">
        <v>210</v>
      </c>
      <c r="B123" s="6">
        <f>100/'Input'!$F$58*$K$99*'SM'!$B66</f>
        <v>0</v>
      </c>
      <c r="C123" s="6">
        <f>100/'Input'!$F$58*$L$99*'SM'!$C66</f>
        <v>0</v>
      </c>
      <c r="D123" s="6">
        <f>SUM($B123:$C123)</f>
        <v>0</v>
      </c>
      <c r="E123" s="10"/>
    </row>
    <row r="124" spans="1:5">
      <c r="A124" s="11" t="s">
        <v>174</v>
      </c>
      <c r="B124" s="6">
        <f>100/'Input'!$F$58*$K$99*'SM'!$B67</f>
        <v>0</v>
      </c>
      <c r="C124" s="6">
        <f>100/'Input'!$F$58*$L$99*'SM'!$C67</f>
        <v>0</v>
      </c>
      <c r="D124" s="6">
        <f>SUM($B124:$C124)</f>
        <v>0</v>
      </c>
      <c r="E124" s="10"/>
    </row>
    <row r="125" spans="1:5">
      <c r="A125" s="11" t="s">
        <v>175</v>
      </c>
      <c r="B125" s="6">
        <f>100/'Input'!$F$58*$K$99*'SM'!$B68</f>
        <v>0</v>
      </c>
      <c r="C125" s="6">
        <f>100/'Input'!$F$58*$L$99*'SM'!$C68</f>
        <v>0</v>
      </c>
      <c r="D125" s="6">
        <f>SUM($B125:$C125)</f>
        <v>0</v>
      </c>
      <c r="E125" s="10"/>
    </row>
    <row r="126" spans="1:5">
      <c r="A126" s="11" t="s">
        <v>211</v>
      </c>
      <c r="B126" s="6">
        <f>100/'Input'!$F$58*$K$99*'SM'!$B69</f>
        <v>0</v>
      </c>
      <c r="C126" s="6">
        <f>100/'Input'!$F$58*$L$99*'SM'!$C69</f>
        <v>0</v>
      </c>
      <c r="D126" s="6">
        <f>SUM($B126:$C126)</f>
        <v>0</v>
      </c>
      <c r="E126" s="10"/>
    </row>
    <row r="127" spans="1:5">
      <c r="A127" s="11" t="s">
        <v>176</v>
      </c>
      <c r="B127" s="6">
        <f>100/'Input'!$F$58*$K$99*'SM'!$B70</f>
        <v>0</v>
      </c>
      <c r="C127" s="6">
        <f>100/'Input'!$F$58*$L$99*'SM'!$C70</f>
        <v>0</v>
      </c>
      <c r="D127" s="6">
        <f>SUM($B127:$C127)</f>
        <v>0</v>
      </c>
      <c r="E127" s="10"/>
    </row>
    <row r="128" spans="1:5">
      <c r="A128" s="11" t="s">
        <v>177</v>
      </c>
      <c r="B128" s="6">
        <f>100/'Input'!$F$58*$K$99*'SM'!$B71</f>
        <v>0</v>
      </c>
      <c r="C128" s="6">
        <f>100/'Input'!$F$58*$L$99*'SM'!$C71</f>
        <v>0</v>
      </c>
      <c r="D128" s="6">
        <f>SUM($B128:$C128)</f>
        <v>0</v>
      </c>
      <c r="E128" s="10"/>
    </row>
    <row r="129" spans="1:5">
      <c r="A129" s="11" t="s">
        <v>191</v>
      </c>
      <c r="B129" s="6">
        <f>100/'Input'!$F$58*$K$99*'SM'!$B72</f>
        <v>0</v>
      </c>
      <c r="C129" s="6">
        <f>100/'Input'!$F$58*$L$99*'SM'!$C72</f>
        <v>0</v>
      </c>
      <c r="D129" s="6">
        <f>SUM($B129:$C129)</f>
        <v>0</v>
      </c>
      <c r="E129" s="10"/>
    </row>
    <row r="130" spans="1:5">
      <c r="A130" s="11" t="s">
        <v>178</v>
      </c>
      <c r="B130" s="6">
        <f>100/'Input'!$F$58*$K$99*'SM'!$B73</f>
        <v>0</v>
      </c>
      <c r="C130" s="6">
        <f>100/'Input'!$F$58*$L$99*'SM'!$C73</f>
        <v>0</v>
      </c>
      <c r="D130" s="6">
        <f>SUM($B130:$C130)</f>
        <v>0</v>
      </c>
      <c r="E130" s="10"/>
    </row>
    <row r="131" spans="1:5">
      <c r="A131" s="11" t="s">
        <v>179</v>
      </c>
      <c r="B131" s="6">
        <f>100/'Input'!$F$58*$K$99*'SM'!$B74</f>
        <v>0</v>
      </c>
      <c r="C131" s="6">
        <f>100/'Input'!$F$58*$L$99*'SM'!$C74</f>
        <v>0</v>
      </c>
      <c r="D131" s="6">
        <f>SUM($B131:$C131)</f>
        <v>0</v>
      </c>
      <c r="E131" s="10"/>
    </row>
    <row r="132" spans="1:5">
      <c r="A132" s="11" t="s">
        <v>192</v>
      </c>
      <c r="B132" s="6">
        <f>100/'Input'!$F$58*$K$99*'SM'!$B75</f>
        <v>0</v>
      </c>
      <c r="C132" s="6">
        <f>100/'Input'!$F$58*$L$99*'SM'!$C75</f>
        <v>0</v>
      </c>
      <c r="D132" s="6">
        <f>SUM($B132:$C132)</f>
        <v>0</v>
      </c>
      <c r="E132" s="10"/>
    </row>
    <row r="133" spans="1:5">
      <c r="A133" s="11" t="s">
        <v>212</v>
      </c>
      <c r="B133" s="6">
        <f>100/'Input'!$F$58*$K$99*'SM'!$B76</f>
        <v>0</v>
      </c>
      <c r="C133" s="6">
        <f>100/'Input'!$F$58*$L$99*'SM'!$C76</f>
        <v>0</v>
      </c>
      <c r="D133" s="6">
        <f>SUM($B133:$C133)</f>
        <v>0</v>
      </c>
      <c r="E133" s="10"/>
    </row>
    <row r="134" spans="1:5">
      <c r="A134" s="11" t="s">
        <v>213</v>
      </c>
      <c r="B134" s="6">
        <f>100/'Input'!$F$58*$K$99*'SM'!$B77</f>
        <v>0</v>
      </c>
      <c r="C134" s="6">
        <f>100/'Input'!$F$58*$L$99*'SM'!$C77</f>
        <v>0</v>
      </c>
      <c r="D134" s="6">
        <f>SUM($B134:$C134)</f>
        <v>0</v>
      </c>
      <c r="E134" s="10"/>
    </row>
    <row r="135" spans="1:5">
      <c r="A135" s="11" t="s">
        <v>214</v>
      </c>
      <c r="B135" s="6">
        <f>100/'Input'!$F$58*$K$99*'SM'!$B78</f>
        <v>0</v>
      </c>
      <c r="C135" s="6">
        <f>100/'Input'!$F$58*$L$99*'SM'!$C78</f>
        <v>0</v>
      </c>
      <c r="D135" s="6">
        <f>SUM($B135:$C135)</f>
        <v>0</v>
      </c>
      <c r="E135" s="10"/>
    </row>
    <row r="136" spans="1:5">
      <c r="A136" s="11" t="s">
        <v>215</v>
      </c>
      <c r="B136" s="6">
        <f>100/'Input'!$F$58*$K$99*'SM'!$B79</f>
        <v>0</v>
      </c>
      <c r="C136" s="6">
        <f>100/'Input'!$F$58*$L$99*'SM'!$C79</f>
        <v>0</v>
      </c>
      <c r="D136" s="6">
        <f>SUM($B136:$C136)</f>
        <v>0</v>
      </c>
      <c r="E136" s="10"/>
    </row>
    <row r="137" spans="1:5">
      <c r="A137" s="11" t="s">
        <v>216</v>
      </c>
      <c r="B137" s="6">
        <f>100/'Input'!$F$58*$K$99*'SM'!$B80</f>
        <v>0</v>
      </c>
      <c r="C137" s="6">
        <f>100/'Input'!$F$58*$L$99*'SM'!$C80</f>
        <v>0</v>
      </c>
      <c r="D137" s="6">
        <f>SUM($B137:$C137)</f>
        <v>0</v>
      </c>
      <c r="E137" s="10"/>
    </row>
    <row r="138" spans="1:5">
      <c r="A138" s="11" t="s">
        <v>180</v>
      </c>
      <c r="B138" s="6">
        <f>100/'Input'!$F$58*$K$99*'SM'!$B81</f>
        <v>0</v>
      </c>
      <c r="C138" s="6">
        <f>100/'Input'!$F$58*$L$99*'SM'!$C81</f>
        <v>0</v>
      </c>
      <c r="D138" s="6">
        <f>SUM($B138:$C138)</f>
        <v>0</v>
      </c>
      <c r="E138" s="10"/>
    </row>
    <row r="139" spans="1:5">
      <c r="A139" s="11" t="s">
        <v>181</v>
      </c>
      <c r="B139" s="6">
        <f>100/'Input'!$F$58*$K$99*'SM'!$B82</f>
        <v>0</v>
      </c>
      <c r="C139" s="6">
        <f>100/'Input'!$F$58*$L$99*'SM'!$C82</f>
        <v>0</v>
      </c>
      <c r="D139" s="6">
        <f>SUM($B139:$C139)</f>
        <v>0</v>
      </c>
      <c r="E139" s="10"/>
    </row>
    <row r="140" spans="1:5">
      <c r="A140" s="11" t="s">
        <v>182</v>
      </c>
      <c r="B140" s="6">
        <f>100/'Input'!$F$58*$K$99*'SM'!$B83</f>
        <v>0</v>
      </c>
      <c r="C140" s="6">
        <f>100/'Input'!$F$58*$L$99*'SM'!$C83</f>
        <v>0</v>
      </c>
      <c r="D140" s="6">
        <f>SUM($B140:$C140)</f>
        <v>0</v>
      </c>
      <c r="E140" s="10"/>
    </row>
    <row r="141" spans="1:5">
      <c r="A141" s="11" t="s">
        <v>183</v>
      </c>
      <c r="B141" s="6">
        <f>100/'Input'!$F$58*$K$99*'SM'!$B84</f>
        <v>0</v>
      </c>
      <c r="C141" s="6">
        <f>100/'Input'!$F$58*$L$99*'SM'!$C84</f>
        <v>0</v>
      </c>
      <c r="D141" s="6">
        <f>SUM($B141:$C141)</f>
        <v>0</v>
      </c>
      <c r="E141" s="10"/>
    </row>
    <row r="142" spans="1:5">
      <c r="A142" s="11" t="s">
        <v>184</v>
      </c>
      <c r="B142" s="6">
        <f>100/'Input'!$F$58*$K$99*'SM'!$B85</f>
        <v>0</v>
      </c>
      <c r="C142" s="6">
        <f>100/'Input'!$F$58*$L$99*'SM'!$C85</f>
        <v>0</v>
      </c>
      <c r="D142" s="6">
        <f>SUM($B142:$C142)</f>
        <v>0</v>
      </c>
      <c r="E142" s="10"/>
    </row>
    <row r="143" spans="1:5">
      <c r="A143" s="11" t="s">
        <v>185</v>
      </c>
      <c r="B143" s="6">
        <f>100/'Input'!$F$58*$K$99*'SM'!$B86</f>
        <v>0</v>
      </c>
      <c r="C143" s="6">
        <f>100/'Input'!$F$58*$L$99*'SM'!$C86</f>
        <v>0</v>
      </c>
      <c r="D143" s="6">
        <f>SUM($B143:$C143)</f>
        <v>0</v>
      </c>
      <c r="E143" s="10"/>
    </row>
    <row r="144" spans="1:5">
      <c r="A144" s="11" t="s">
        <v>193</v>
      </c>
      <c r="B144" s="6">
        <f>100/'Input'!$F$58*$K$99*'SM'!$B87</f>
        <v>0</v>
      </c>
      <c r="C144" s="6">
        <f>100/'Input'!$F$58*$L$99*'SM'!$C87</f>
        <v>0</v>
      </c>
      <c r="D144" s="6">
        <f>SUM($B144:$C144)</f>
        <v>0</v>
      </c>
      <c r="E144" s="10"/>
    </row>
    <row r="145" spans="1:5">
      <c r="A145" s="11" t="s">
        <v>194</v>
      </c>
      <c r="B145" s="6">
        <f>100/'Input'!$F$58*$K$99*'SM'!$B88</f>
        <v>0</v>
      </c>
      <c r="C145" s="6">
        <f>100/'Input'!$F$58*$L$99*'SM'!$C88</f>
        <v>0</v>
      </c>
      <c r="D145" s="6">
        <f>SUM($B145:$C145)</f>
        <v>0</v>
      </c>
      <c r="E145" s="10"/>
    </row>
    <row r="147" spans="1:5">
      <c r="A147" s="1" t="s">
        <v>884</v>
      </c>
    </row>
    <row r="148" spans="1:5">
      <c r="A148" s="2" t="s">
        <v>349</v>
      </c>
    </row>
    <row r="149" spans="1:5">
      <c r="A149" s="12" t="s">
        <v>885</v>
      </c>
    </row>
    <row r="150" spans="1:5">
      <c r="A150" s="12" t="s">
        <v>467</v>
      </c>
    </row>
    <row r="151" spans="1:5">
      <c r="A151" s="2" t="s">
        <v>886</v>
      </c>
    </row>
    <row r="153" spans="1:5">
      <c r="B153" s="3" t="s">
        <v>818</v>
      </c>
    </row>
    <row r="154" spans="1:5">
      <c r="A154" s="11" t="s">
        <v>212</v>
      </c>
      <c r="B154" s="6">
        <f>0.1*$K$99*'SM'!$B$33</f>
        <v>0</v>
      </c>
      <c r="C154" s="10"/>
    </row>
    <row r="155" spans="1:5">
      <c r="A155" s="11" t="s">
        <v>213</v>
      </c>
      <c r="B155" s="6">
        <f>0.1*$K$99*'SM'!$B$33</f>
        <v>0</v>
      </c>
      <c r="C155" s="10"/>
    </row>
    <row r="156" spans="1:5">
      <c r="A156" s="11" t="s">
        <v>214</v>
      </c>
      <c r="B156" s="6">
        <f>0.1*$K$99*'SM'!$B$33</f>
        <v>0</v>
      </c>
      <c r="C156" s="10"/>
    </row>
    <row r="157" spans="1:5">
      <c r="A157" s="11" t="s">
        <v>215</v>
      </c>
      <c r="B157" s="6">
        <f>0.1*$K$99*'SM'!$B$33</f>
        <v>0</v>
      </c>
      <c r="C157" s="10"/>
    </row>
    <row r="158" spans="1:5">
      <c r="A158" s="11" t="s">
        <v>216</v>
      </c>
      <c r="B158" s="6">
        <f>0.1*$K$99*'SM'!$B$33</f>
        <v>0</v>
      </c>
      <c r="C158" s="10"/>
    </row>
  </sheetData>
  <sheetProtection sheet="1" objects="1" scenarios="1"/>
  <hyperlinks>
    <hyperlink ref="A5" location="'Input'!B275" display="x1 = 1055. Transmission exit charges (£/year)"/>
    <hyperlink ref="A14" location="'DRM'!B112" display="x1 = 2108. GSP simultaneous maximum load assumed through each network level (MW)"/>
    <hyperlink ref="A15" location="'AMD'!B217" display="x2 = 2613. Forecast simultaneous maximum load (kW) adjusted for standing charges"/>
    <hyperlink ref="A16" location="'Input'!B89" display="x3 = 1020. Gross asset cost by network level (£)"/>
    <hyperlink ref="A24" location="'Multi'!B108" display="x1 = 2407. All units (MWh)"/>
    <hyperlink ref="A36" location="'Otex'!B27" display="x1 = 2703. Annual consumption by tariff for unmetered users (MWh)"/>
    <hyperlink ref="A44" location="'SM'!B63" display="x1 = 2205. Service model assets by tariff (£)"/>
    <hyperlink ref="A45" location="'Loads'!E281" display="x2 = 2305. MPANs (in Equivalent volume for each end user)"/>
    <hyperlink ref="A46" location="'SM'!B32" display="x3 = 2202. Asset £/(MWh/year) from LV service models"/>
    <hyperlink ref="A47" location="'Otex'!B39" display="x4 = 2704. Total unmetered units"/>
    <hyperlink ref="A48" location="'Otex'!D55" display="x5 = Service model assets (£) scaled by annual MWh (in Service model asset data)"/>
    <hyperlink ref="A49" location="'Otex'!B55" display="x6 = Service model assets (£) scaled by user count (in Service model asset data)"/>
    <hyperlink ref="A50" location="'Otex'!E55" display="x7 = Service model assets (£) scaled by annual MWh (in Service model asset data)"/>
    <hyperlink ref="A60" location="'Otex'!B19" display="x1 = 2702. Network model assets (£) scaled by load forecast"/>
    <hyperlink ref="A61" location="'Otex'!G55" display="x2 = 2705. Service model assets (£) (in Service model asset data)"/>
    <hyperlink ref="A62" location="'Otex'!B67" display="x3 = Model assets (£) scaled by demand forecast (in Data for allocation of operating expenditure)"/>
    <hyperlink ref="A72" location="'Input'!B280" display="x1 = 1059. Direct cost (£/year) (in Other expenditure)"/>
    <hyperlink ref="A73" location="'Input'!E280" display="x2 = 1059. Network rates (£/year) (in Other expenditure)"/>
    <hyperlink ref="A74" location="'Input'!C280" display="x3 = 1059. Indirect cost (£/year) (in Other expenditure)"/>
    <hyperlink ref="A75" location="'Input'!D280" display="x4 = 1059. Indirect cost proportion (in Other expenditure)"/>
    <hyperlink ref="A83" location="'Otex'!B9" display="x1 = 2701. Operating expenditure coded by network level (£/year)"/>
    <hyperlink ref="A84" location="'Otex'!B78" display="x2 = 2707. Amount of expenditure to be allocated according to asset values (£/year)"/>
    <hyperlink ref="A85" location="'Otex'!M67" display="x3 = 2706. Denominator for allocation of operating expenditure (in Data for allocation of operating expenditure)"/>
    <hyperlink ref="A86" location="'Otex'!B67" display="x4 = 2706. Model assets (£) scaled by demand forecast (in Data for allocation of operating expenditure)"/>
    <hyperlink ref="A94" location="'Otex'!B67" display="x1 = 2706. Model assets (£) scaled by demand forecast (in Data for allocation of operating expenditure)"/>
    <hyperlink ref="A95" location="'Otex'!B89" display="x2 = 2708. Total operating expenditure by network level  (£/year)"/>
    <hyperlink ref="A103" location="'AMD'!B217" display="x1 = 2613. Forecast simultaneous maximum load (kW) adjusted for standing charges"/>
    <hyperlink ref="A104" location="'Otex'!B89" display="x2 = 2708. Total operating expenditure by network level  (£/year)"/>
    <hyperlink ref="A112" location="'Input'!F57" display="x1 = 1010. Days in the charging year (in Financial and general assumptions)"/>
    <hyperlink ref="A113" location="'Otex'!B98" display="x2 = 2709. Operating expenditure percentage by network level"/>
    <hyperlink ref="A114" location="'SM'!B63" display="x3 = 2205. Service model assets by tariff (£)"/>
    <hyperlink ref="A115" location="'Otex'!B120" display="x4 = Operating expenditure p/MPAN/day by level (in Operating expenditure for customer assets p/MPAN/day)"/>
    <hyperlink ref="A149" location="'Otex'!B98" display="x1 = 2709. Operating expenditure percentage by network level"/>
    <hyperlink ref="A150" location="'SM'!B32" display="x2 = 2202. Asset £/(MWh/year) from LV service models"/>
  </hyperlink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4.7109375" customWidth="1"/>
  </cols>
  <sheetData>
    <row r="1" spans="1:6">
      <c r="A1" s="1">
        <f>"Customer contributions"&amp;" for "&amp;'Input'!B7&amp;" in "&amp;'Input'!C7&amp;" ("&amp;'Input'!D7&amp;")"</f>
        <v>0</v>
      </c>
    </row>
    <row r="2" spans="1:6">
      <c r="A2" s="2" t="s">
        <v>887</v>
      </c>
    </row>
    <row r="4" spans="1:6">
      <c r="A4" s="1" t="s">
        <v>888</v>
      </c>
    </row>
    <row r="6" spans="1:6">
      <c r="B6" s="3" t="s">
        <v>312</v>
      </c>
      <c r="C6" s="3" t="s">
        <v>313</v>
      </c>
      <c r="D6" s="3" t="s">
        <v>314</v>
      </c>
      <c r="E6" s="3" t="s">
        <v>315</v>
      </c>
    </row>
    <row r="7" spans="1:6">
      <c r="A7" s="11" t="s">
        <v>172</v>
      </c>
      <c r="B7" s="30">
        <v>1</v>
      </c>
      <c r="C7" s="30">
        <v>0</v>
      </c>
      <c r="D7" s="30">
        <v>0</v>
      </c>
      <c r="E7" s="30">
        <v>0</v>
      </c>
      <c r="F7" s="10"/>
    </row>
    <row r="8" spans="1:6">
      <c r="A8" s="11" t="s">
        <v>173</v>
      </c>
      <c r="B8" s="30">
        <v>1</v>
      </c>
      <c r="C8" s="30">
        <v>0</v>
      </c>
      <c r="D8" s="30">
        <v>0</v>
      </c>
      <c r="E8" s="30">
        <v>0</v>
      </c>
      <c r="F8" s="10"/>
    </row>
    <row r="9" spans="1:6">
      <c r="A9" s="11" t="s">
        <v>210</v>
      </c>
      <c r="B9" s="30">
        <v>1</v>
      </c>
      <c r="C9" s="30">
        <v>0</v>
      </c>
      <c r="D9" s="30">
        <v>0</v>
      </c>
      <c r="E9" s="30">
        <v>0</v>
      </c>
      <c r="F9" s="10"/>
    </row>
    <row r="10" spans="1:6">
      <c r="A10" s="11" t="s">
        <v>174</v>
      </c>
      <c r="B10" s="30">
        <v>1</v>
      </c>
      <c r="C10" s="30">
        <v>0</v>
      </c>
      <c r="D10" s="30">
        <v>0</v>
      </c>
      <c r="E10" s="30">
        <v>0</v>
      </c>
      <c r="F10" s="10"/>
    </row>
    <row r="11" spans="1:6">
      <c r="A11" s="11" t="s">
        <v>175</v>
      </c>
      <c r="B11" s="30">
        <v>1</v>
      </c>
      <c r="C11" s="30">
        <v>0</v>
      </c>
      <c r="D11" s="30">
        <v>0</v>
      </c>
      <c r="E11" s="30">
        <v>0</v>
      </c>
      <c r="F11" s="10"/>
    </row>
    <row r="12" spans="1:6">
      <c r="A12" s="11" t="s">
        <v>211</v>
      </c>
      <c r="B12" s="30">
        <v>1</v>
      </c>
      <c r="C12" s="30">
        <v>0</v>
      </c>
      <c r="D12" s="30">
        <v>0</v>
      </c>
      <c r="E12" s="30">
        <v>0</v>
      </c>
      <c r="F12" s="10"/>
    </row>
    <row r="13" spans="1:6">
      <c r="A13" s="11" t="s">
        <v>176</v>
      </c>
      <c r="B13" s="30">
        <v>1</v>
      </c>
      <c r="C13" s="30">
        <v>0</v>
      </c>
      <c r="D13" s="30">
        <v>0</v>
      </c>
      <c r="E13" s="30">
        <v>0</v>
      </c>
      <c r="F13" s="10"/>
    </row>
    <row r="14" spans="1:6">
      <c r="A14" s="11" t="s">
        <v>177</v>
      </c>
      <c r="B14" s="30">
        <v>0</v>
      </c>
      <c r="C14" s="30">
        <v>1</v>
      </c>
      <c r="D14" s="30">
        <v>0</v>
      </c>
      <c r="E14" s="30">
        <v>0</v>
      </c>
      <c r="F14" s="10"/>
    </row>
    <row r="15" spans="1:6">
      <c r="A15" s="11" t="s">
        <v>191</v>
      </c>
      <c r="B15" s="30">
        <v>0</v>
      </c>
      <c r="C15" s="30">
        <v>0</v>
      </c>
      <c r="D15" s="30">
        <v>1</v>
      </c>
      <c r="E15" s="30">
        <v>0</v>
      </c>
      <c r="F15" s="10"/>
    </row>
    <row r="16" spans="1:6">
      <c r="A16" s="11" t="s">
        <v>178</v>
      </c>
      <c r="B16" s="30">
        <v>1</v>
      </c>
      <c r="C16" s="30">
        <v>0</v>
      </c>
      <c r="D16" s="30">
        <v>0</v>
      </c>
      <c r="E16" s="30">
        <v>0</v>
      </c>
      <c r="F16" s="10"/>
    </row>
    <row r="17" spans="1:6">
      <c r="A17" s="11" t="s">
        <v>179</v>
      </c>
      <c r="B17" s="30">
        <v>0</v>
      </c>
      <c r="C17" s="30">
        <v>1</v>
      </c>
      <c r="D17" s="30">
        <v>0</v>
      </c>
      <c r="E17" s="30">
        <v>0</v>
      </c>
      <c r="F17" s="10"/>
    </row>
    <row r="18" spans="1:6">
      <c r="A18" s="11" t="s">
        <v>192</v>
      </c>
      <c r="B18" s="30">
        <v>0</v>
      </c>
      <c r="C18" s="30">
        <v>0</v>
      </c>
      <c r="D18" s="30">
        <v>1</v>
      </c>
      <c r="E18" s="30">
        <v>0</v>
      </c>
      <c r="F18" s="10"/>
    </row>
    <row r="19" spans="1:6">
      <c r="A19" s="11" t="s">
        <v>212</v>
      </c>
      <c r="B19" s="30">
        <v>1</v>
      </c>
      <c r="C19" s="30">
        <v>0</v>
      </c>
      <c r="D19" s="30">
        <v>0</v>
      </c>
      <c r="E19" s="30">
        <v>0</v>
      </c>
      <c r="F19" s="10"/>
    </row>
    <row r="20" spans="1:6">
      <c r="A20" s="11" t="s">
        <v>213</v>
      </c>
      <c r="B20" s="30">
        <v>1</v>
      </c>
      <c r="C20" s="30">
        <v>0</v>
      </c>
      <c r="D20" s="30">
        <v>0</v>
      </c>
      <c r="E20" s="30">
        <v>0</v>
      </c>
      <c r="F20" s="10"/>
    </row>
    <row r="21" spans="1:6">
      <c r="A21" s="11" t="s">
        <v>214</v>
      </c>
      <c r="B21" s="30">
        <v>1</v>
      </c>
      <c r="C21" s="30">
        <v>0</v>
      </c>
      <c r="D21" s="30">
        <v>0</v>
      </c>
      <c r="E21" s="30">
        <v>0</v>
      </c>
      <c r="F21" s="10"/>
    </row>
    <row r="22" spans="1:6">
      <c r="A22" s="11" t="s">
        <v>215</v>
      </c>
      <c r="B22" s="30">
        <v>1</v>
      </c>
      <c r="C22" s="30">
        <v>0</v>
      </c>
      <c r="D22" s="30">
        <v>0</v>
      </c>
      <c r="E22" s="30">
        <v>0</v>
      </c>
      <c r="F22" s="10"/>
    </row>
    <row r="23" spans="1:6">
      <c r="A23" s="11" t="s">
        <v>216</v>
      </c>
      <c r="B23" s="30">
        <v>1</v>
      </c>
      <c r="C23" s="30">
        <v>0</v>
      </c>
      <c r="D23" s="30">
        <v>0</v>
      </c>
      <c r="E23" s="30">
        <v>0</v>
      </c>
      <c r="F23" s="10"/>
    </row>
    <row r="24" spans="1:6">
      <c r="A24" s="11" t="s">
        <v>180</v>
      </c>
      <c r="B24" s="30">
        <v>1</v>
      </c>
      <c r="C24" s="30">
        <v>0</v>
      </c>
      <c r="D24" s="30">
        <v>0</v>
      </c>
      <c r="E24" s="30">
        <v>0</v>
      </c>
      <c r="F24" s="10"/>
    </row>
    <row r="25" spans="1:6">
      <c r="A25" s="11" t="s">
        <v>181</v>
      </c>
      <c r="B25" s="30">
        <v>0</v>
      </c>
      <c r="C25" s="30">
        <v>1</v>
      </c>
      <c r="D25" s="30">
        <v>0</v>
      </c>
      <c r="E25" s="30">
        <v>0</v>
      </c>
      <c r="F25" s="10"/>
    </row>
    <row r="26" spans="1:6">
      <c r="A26" s="11" t="s">
        <v>182</v>
      </c>
      <c r="B26" s="30">
        <v>1</v>
      </c>
      <c r="C26" s="30">
        <v>0</v>
      </c>
      <c r="D26" s="30">
        <v>0</v>
      </c>
      <c r="E26" s="30">
        <v>0</v>
      </c>
      <c r="F26" s="10"/>
    </row>
    <row r="27" spans="1:6">
      <c r="A27" s="11" t="s">
        <v>183</v>
      </c>
      <c r="B27" s="30">
        <v>1</v>
      </c>
      <c r="C27" s="30">
        <v>0</v>
      </c>
      <c r="D27" s="30">
        <v>0</v>
      </c>
      <c r="E27" s="30">
        <v>0</v>
      </c>
      <c r="F27" s="10"/>
    </row>
    <row r="28" spans="1:6">
      <c r="A28" s="11" t="s">
        <v>184</v>
      </c>
      <c r="B28" s="30">
        <v>0</v>
      </c>
      <c r="C28" s="30">
        <v>1</v>
      </c>
      <c r="D28" s="30">
        <v>0</v>
      </c>
      <c r="E28" s="30">
        <v>0</v>
      </c>
      <c r="F28" s="10"/>
    </row>
    <row r="29" spans="1:6">
      <c r="A29" s="11" t="s">
        <v>185</v>
      </c>
      <c r="B29" s="30">
        <v>0</v>
      </c>
      <c r="C29" s="30">
        <v>1</v>
      </c>
      <c r="D29" s="30">
        <v>0</v>
      </c>
      <c r="E29" s="30">
        <v>0</v>
      </c>
      <c r="F29" s="10"/>
    </row>
    <row r="30" spans="1:6">
      <c r="A30" s="11" t="s">
        <v>193</v>
      </c>
      <c r="B30" s="30">
        <v>0</v>
      </c>
      <c r="C30" s="30">
        <v>0</v>
      </c>
      <c r="D30" s="30">
        <v>1</v>
      </c>
      <c r="E30" s="30">
        <v>0</v>
      </c>
      <c r="F30" s="10"/>
    </row>
    <row r="31" spans="1:6">
      <c r="A31" s="11" t="s">
        <v>194</v>
      </c>
      <c r="B31" s="30">
        <v>0</v>
      </c>
      <c r="C31" s="30">
        <v>0</v>
      </c>
      <c r="D31" s="30">
        <v>1</v>
      </c>
      <c r="E31" s="30">
        <v>0</v>
      </c>
      <c r="F31" s="10"/>
    </row>
    <row r="33" spans="1:6">
      <c r="A33" s="1" t="s">
        <v>889</v>
      </c>
    </row>
    <row r="34" spans="1:6">
      <c r="A34" s="2" t="s">
        <v>349</v>
      </c>
    </row>
    <row r="35" spans="1:6">
      <c r="A35" s="12" t="s">
        <v>890</v>
      </c>
    </row>
    <row r="36" spans="1:6">
      <c r="A36" s="12" t="s">
        <v>891</v>
      </c>
    </row>
    <row r="37" spans="1:6">
      <c r="A37" s="2" t="s">
        <v>892</v>
      </c>
    </row>
    <row r="39" spans="1:6">
      <c r="B39" s="3" t="s">
        <v>312</v>
      </c>
      <c r="C39" s="3" t="s">
        <v>313</v>
      </c>
      <c r="D39" s="3" t="s">
        <v>314</v>
      </c>
      <c r="E39" s="3" t="s">
        <v>315</v>
      </c>
    </row>
    <row r="40" spans="1:6">
      <c r="A40" s="11" t="s">
        <v>449</v>
      </c>
      <c r="B40" s="29">
        <f>'Input'!$B$289*(1-'Input'!$D$58)</f>
        <v>0</v>
      </c>
      <c r="C40" s="29">
        <f>'Input'!$B$290*(1-'Input'!$D$58)</f>
        <v>0</v>
      </c>
      <c r="D40" s="29">
        <f>'Input'!$B$291*(1-'Input'!$D$58)</f>
        <v>0</v>
      </c>
      <c r="E40" s="29">
        <f>'Input'!$B$292*(1-'Input'!$D$58)</f>
        <v>0</v>
      </c>
      <c r="F40" s="10"/>
    </row>
    <row r="41" spans="1:6">
      <c r="A41" s="11" t="s">
        <v>450</v>
      </c>
      <c r="B41" s="29">
        <f>'Input'!$C$289*(1-'Input'!$D$58)</f>
        <v>0</v>
      </c>
      <c r="C41" s="29">
        <f>'Input'!$C$290*(1-'Input'!$D$58)</f>
        <v>0</v>
      </c>
      <c r="D41" s="29">
        <f>'Input'!$C$291*(1-'Input'!$D$58)</f>
        <v>0</v>
      </c>
      <c r="E41" s="29">
        <f>'Input'!$C$292*(1-'Input'!$D$58)</f>
        <v>0</v>
      </c>
      <c r="F41" s="10"/>
    </row>
    <row r="42" spans="1:6">
      <c r="A42" s="11" t="s">
        <v>451</v>
      </c>
      <c r="B42" s="29">
        <f>'Input'!$D$289*(1-'Input'!$D$58)</f>
        <v>0</v>
      </c>
      <c r="C42" s="29">
        <f>'Input'!$D$290*(1-'Input'!$D$58)</f>
        <v>0</v>
      </c>
      <c r="D42" s="29">
        <f>'Input'!$D$291*(1-'Input'!$D$58)</f>
        <v>0</v>
      </c>
      <c r="E42" s="29">
        <f>'Input'!$D$292*(1-'Input'!$D$58)</f>
        <v>0</v>
      </c>
      <c r="F42" s="10"/>
    </row>
    <row r="43" spans="1:6">
      <c r="A43" s="11" t="s">
        <v>452</v>
      </c>
      <c r="B43" s="29">
        <f>'Input'!$E$289*(1-'Input'!$D$58)</f>
        <v>0</v>
      </c>
      <c r="C43" s="29">
        <f>'Input'!$E$290*(1-'Input'!$D$58)</f>
        <v>0</v>
      </c>
      <c r="D43" s="29">
        <f>'Input'!$E$291*(1-'Input'!$D$58)</f>
        <v>0</v>
      </c>
      <c r="E43" s="29">
        <f>'Input'!$E$292*(1-'Input'!$D$58)</f>
        <v>0</v>
      </c>
      <c r="F43" s="10"/>
    </row>
    <row r="44" spans="1:6">
      <c r="A44" s="11" t="s">
        <v>453</v>
      </c>
      <c r="B44" s="29">
        <f>'Input'!$F$289*(1-'Input'!$D$58)</f>
        <v>0</v>
      </c>
      <c r="C44" s="29">
        <f>'Input'!$F$290*(1-'Input'!$D$58)</f>
        <v>0</v>
      </c>
      <c r="D44" s="29">
        <f>'Input'!$F$291*(1-'Input'!$D$58)</f>
        <v>0</v>
      </c>
      <c r="E44" s="29">
        <f>'Input'!$F$292*(1-'Input'!$D$58)</f>
        <v>0</v>
      </c>
      <c r="F44" s="10"/>
    </row>
    <row r="45" spans="1:6">
      <c r="A45" s="11" t="s">
        <v>454</v>
      </c>
      <c r="B45" s="29">
        <f>'Input'!$G$289*(1-'Input'!$D$58)</f>
        <v>0</v>
      </c>
      <c r="C45" s="29">
        <f>'Input'!$G$290*(1-'Input'!$D$58)</f>
        <v>0</v>
      </c>
      <c r="D45" s="29">
        <f>'Input'!$G$291*(1-'Input'!$D$58)</f>
        <v>0</v>
      </c>
      <c r="E45" s="29">
        <f>'Input'!$G$292*(1-'Input'!$D$58)</f>
        <v>0</v>
      </c>
      <c r="F45" s="10"/>
    </row>
    <row r="46" spans="1:6">
      <c r="A46" s="11" t="s">
        <v>455</v>
      </c>
      <c r="B46" s="29">
        <f>'Input'!$H$289*(1-'Input'!$D$58)</f>
        <v>0</v>
      </c>
      <c r="C46" s="29">
        <f>'Input'!$H$290*(1-'Input'!$D$58)</f>
        <v>0</v>
      </c>
      <c r="D46" s="29">
        <f>'Input'!$H$291*(1-'Input'!$D$58)</f>
        <v>0</v>
      </c>
      <c r="E46" s="29">
        <f>'Input'!$H$292*(1-'Input'!$D$58)</f>
        <v>0</v>
      </c>
      <c r="F46" s="10"/>
    </row>
    <row r="47" spans="1:6">
      <c r="A47" s="11" t="s">
        <v>456</v>
      </c>
      <c r="B47" s="29">
        <f>'Input'!$I$289*(1-'Input'!$D$58)</f>
        <v>0</v>
      </c>
      <c r="C47" s="29">
        <f>'Input'!$I$290*(1-'Input'!$D$58)</f>
        <v>0</v>
      </c>
      <c r="D47" s="29">
        <f>'Input'!$I$291*(1-'Input'!$D$58)</f>
        <v>0</v>
      </c>
      <c r="E47" s="29">
        <f>'Input'!$I$292*(1-'Input'!$D$58)</f>
        <v>0</v>
      </c>
      <c r="F47" s="10"/>
    </row>
    <row r="49" spans="1:10">
      <c r="A49" s="1" t="s">
        <v>893</v>
      </c>
    </row>
    <row r="50" spans="1:10">
      <c r="A50" s="2" t="s">
        <v>349</v>
      </c>
    </row>
    <row r="51" spans="1:10">
      <c r="A51" s="12" t="s">
        <v>894</v>
      </c>
    </row>
    <row r="52" spans="1:10">
      <c r="A52" s="12" t="s">
        <v>895</v>
      </c>
    </row>
    <row r="53" spans="1:10">
      <c r="A53" s="2" t="s">
        <v>362</v>
      </c>
    </row>
    <row r="55" spans="1:10">
      <c r="B55" s="3" t="s">
        <v>304</v>
      </c>
      <c r="C55" s="3" t="s">
        <v>305</v>
      </c>
      <c r="D55" s="3" t="s">
        <v>306</v>
      </c>
      <c r="E55" s="3" t="s">
        <v>307</v>
      </c>
      <c r="F55" s="3" t="s">
        <v>308</v>
      </c>
      <c r="G55" s="3" t="s">
        <v>309</v>
      </c>
      <c r="H55" s="3" t="s">
        <v>310</v>
      </c>
      <c r="I55" s="3" t="s">
        <v>311</v>
      </c>
    </row>
    <row r="56" spans="1:10">
      <c r="A56" s="11" t="s">
        <v>172</v>
      </c>
      <c r="B56" s="29">
        <f>SUMPRODUCT($B7:$E7,$B$40:$E$40)</f>
        <v>0</v>
      </c>
      <c r="C56" s="29">
        <f>SUMPRODUCT($B7:$E7,$B$41:$E$41)</f>
        <v>0</v>
      </c>
      <c r="D56" s="29">
        <f>SUMPRODUCT($B7:$E7,$B$42:$E$42)</f>
        <v>0</v>
      </c>
      <c r="E56" s="29">
        <f>SUMPRODUCT($B7:$E7,$B$43:$E$43)</f>
        <v>0</v>
      </c>
      <c r="F56" s="29">
        <f>SUMPRODUCT($B7:$E7,$B$44:$E$44)</f>
        <v>0</v>
      </c>
      <c r="G56" s="29">
        <f>SUMPRODUCT($B7:$E7,$B$45:$E$45)</f>
        <v>0</v>
      </c>
      <c r="H56" s="29">
        <f>SUMPRODUCT($B7:$E7,$B$46:$E$46)</f>
        <v>0</v>
      </c>
      <c r="I56" s="29">
        <f>SUMPRODUCT($B7:$E7,$B$47:$E$47)</f>
        <v>0</v>
      </c>
      <c r="J56" s="10"/>
    </row>
    <row r="57" spans="1:10">
      <c r="A57" s="11" t="s">
        <v>173</v>
      </c>
      <c r="B57" s="29">
        <f>SUMPRODUCT($B8:$E8,$B$40:$E$40)</f>
        <v>0</v>
      </c>
      <c r="C57" s="29">
        <f>SUMPRODUCT($B8:$E8,$B$41:$E$41)</f>
        <v>0</v>
      </c>
      <c r="D57" s="29">
        <f>SUMPRODUCT($B8:$E8,$B$42:$E$42)</f>
        <v>0</v>
      </c>
      <c r="E57" s="29">
        <f>SUMPRODUCT($B8:$E8,$B$43:$E$43)</f>
        <v>0</v>
      </c>
      <c r="F57" s="29">
        <f>SUMPRODUCT($B8:$E8,$B$44:$E$44)</f>
        <v>0</v>
      </c>
      <c r="G57" s="29">
        <f>SUMPRODUCT($B8:$E8,$B$45:$E$45)</f>
        <v>0</v>
      </c>
      <c r="H57" s="29">
        <f>SUMPRODUCT($B8:$E8,$B$46:$E$46)</f>
        <v>0</v>
      </c>
      <c r="I57" s="29">
        <f>SUMPRODUCT($B8:$E8,$B$47:$E$47)</f>
        <v>0</v>
      </c>
      <c r="J57" s="10"/>
    </row>
    <row r="58" spans="1:10">
      <c r="A58" s="11" t="s">
        <v>210</v>
      </c>
      <c r="B58" s="29">
        <f>SUMPRODUCT($B9:$E9,$B$40:$E$40)</f>
        <v>0</v>
      </c>
      <c r="C58" s="29">
        <f>SUMPRODUCT($B9:$E9,$B$41:$E$41)</f>
        <v>0</v>
      </c>
      <c r="D58" s="29">
        <f>SUMPRODUCT($B9:$E9,$B$42:$E$42)</f>
        <v>0</v>
      </c>
      <c r="E58" s="29">
        <f>SUMPRODUCT($B9:$E9,$B$43:$E$43)</f>
        <v>0</v>
      </c>
      <c r="F58" s="29">
        <f>SUMPRODUCT($B9:$E9,$B$44:$E$44)</f>
        <v>0</v>
      </c>
      <c r="G58" s="29">
        <f>SUMPRODUCT($B9:$E9,$B$45:$E$45)</f>
        <v>0</v>
      </c>
      <c r="H58" s="29">
        <f>SUMPRODUCT($B9:$E9,$B$46:$E$46)</f>
        <v>0</v>
      </c>
      <c r="I58" s="29">
        <f>SUMPRODUCT($B9:$E9,$B$47:$E$47)</f>
        <v>0</v>
      </c>
      <c r="J58" s="10"/>
    </row>
    <row r="59" spans="1:10">
      <c r="A59" s="11" t="s">
        <v>174</v>
      </c>
      <c r="B59" s="29">
        <f>SUMPRODUCT($B10:$E10,$B$40:$E$40)</f>
        <v>0</v>
      </c>
      <c r="C59" s="29">
        <f>SUMPRODUCT($B10:$E10,$B$41:$E$41)</f>
        <v>0</v>
      </c>
      <c r="D59" s="29">
        <f>SUMPRODUCT($B10:$E10,$B$42:$E$42)</f>
        <v>0</v>
      </c>
      <c r="E59" s="29">
        <f>SUMPRODUCT($B10:$E10,$B$43:$E$43)</f>
        <v>0</v>
      </c>
      <c r="F59" s="29">
        <f>SUMPRODUCT($B10:$E10,$B$44:$E$44)</f>
        <v>0</v>
      </c>
      <c r="G59" s="29">
        <f>SUMPRODUCT($B10:$E10,$B$45:$E$45)</f>
        <v>0</v>
      </c>
      <c r="H59" s="29">
        <f>SUMPRODUCT($B10:$E10,$B$46:$E$46)</f>
        <v>0</v>
      </c>
      <c r="I59" s="29">
        <f>SUMPRODUCT($B10:$E10,$B$47:$E$47)</f>
        <v>0</v>
      </c>
      <c r="J59" s="10"/>
    </row>
    <row r="60" spans="1:10">
      <c r="A60" s="11" t="s">
        <v>175</v>
      </c>
      <c r="B60" s="29">
        <f>SUMPRODUCT($B11:$E11,$B$40:$E$40)</f>
        <v>0</v>
      </c>
      <c r="C60" s="29">
        <f>SUMPRODUCT($B11:$E11,$B$41:$E$41)</f>
        <v>0</v>
      </c>
      <c r="D60" s="29">
        <f>SUMPRODUCT($B11:$E11,$B$42:$E$42)</f>
        <v>0</v>
      </c>
      <c r="E60" s="29">
        <f>SUMPRODUCT($B11:$E11,$B$43:$E$43)</f>
        <v>0</v>
      </c>
      <c r="F60" s="29">
        <f>SUMPRODUCT($B11:$E11,$B$44:$E$44)</f>
        <v>0</v>
      </c>
      <c r="G60" s="29">
        <f>SUMPRODUCT($B11:$E11,$B$45:$E$45)</f>
        <v>0</v>
      </c>
      <c r="H60" s="29">
        <f>SUMPRODUCT($B11:$E11,$B$46:$E$46)</f>
        <v>0</v>
      </c>
      <c r="I60" s="29">
        <f>SUMPRODUCT($B11:$E11,$B$47:$E$47)</f>
        <v>0</v>
      </c>
      <c r="J60" s="10"/>
    </row>
    <row r="61" spans="1:10">
      <c r="A61" s="11" t="s">
        <v>211</v>
      </c>
      <c r="B61" s="29">
        <f>SUMPRODUCT($B12:$E12,$B$40:$E$40)</f>
        <v>0</v>
      </c>
      <c r="C61" s="29">
        <f>SUMPRODUCT($B12:$E12,$B$41:$E$41)</f>
        <v>0</v>
      </c>
      <c r="D61" s="29">
        <f>SUMPRODUCT($B12:$E12,$B$42:$E$42)</f>
        <v>0</v>
      </c>
      <c r="E61" s="29">
        <f>SUMPRODUCT($B12:$E12,$B$43:$E$43)</f>
        <v>0</v>
      </c>
      <c r="F61" s="29">
        <f>SUMPRODUCT($B12:$E12,$B$44:$E$44)</f>
        <v>0</v>
      </c>
      <c r="G61" s="29">
        <f>SUMPRODUCT($B12:$E12,$B$45:$E$45)</f>
        <v>0</v>
      </c>
      <c r="H61" s="29">
        <f>SUMPRODUCT($B12:$E12,$B$46:$E$46)</f>
        <v>0</v>
      </c>
      <c r="I61" s="29">
        <f>SUMPRODUCT($B12:$E12,$B$47:$E$47)</f>
        <v>0</v>
      </c>
      <c r="J61" s="10"/>
    </row>
    <row r="62" spans="1:10">
      <c r="A62" s="11" t="s">
        <v>176</v>
      </c>
      <c r="B62" s="29">
        <f>SUMPRODUCT($B13:$E13,$B$40:$E$40)</f>
        <v>0</v>
      </c>
      <c r="C62" s="29">
        <f>SUMPRODUCT($B13:$E13,$B$41:$E$41)</f>
        <v>0</v>
      </c>
      <c r="D62" s="29">
        <f>SUMPRODUCT($B13:$E13,$B$42:$E$42)</f>
        <v>0</v>
      </c>
      <c r="E62" s="29">
        <f>SUMPRODUCT($B13:$E13,$B$43:$E$43)</f>
        <v>0</v>
      </c>
      <c r="F62" s="29">
        <f>SUMPRODUCT($B13:$E13,$B$44:$E$44)</f>
        <v>0</v>
      </c>
      <c r="G62" s="29">
        <f>SUMPRODUCT($B13:$E13,$B$45:$E$45)</f>
        <v>0</v>
      </c>
      <c r="H62" s="29">
        <f>SUMPRODUCT($B13:$E13,$B$46:$E$46)</f>
        <v>0</v>
      </c>
      <c r="I62" s="29">
        <f>SUMPRODUCT($B13:$E13,$B$47:$E$47)</f>
        <v>0</v>
      </c>
      <c r="J62" s="10"/>
    </row>
    <row r="63" spans="1:10">
      <c r="A63" s="11" t="s">
        <v>177</v>
      </c>
      <c r="B63" s="29">
        <f>SUMPRODUCT($B14:$E14,$B$40:$E$40)</f>
        <v>0</v>
      </c>
      <c r="C63" s="29">
        <f>SUMPRODUCT($B14:$E14,$B$41:$E$41)</f>
        <v>0</v>
      </c>
      <c r="D63" s="29">
        <f>SUMPRODUCT($B14:$E14,$B$42:$E$42)</f>
        <v>0</v>
      </c>
      <c r="E63" s="29">
        <f>SUMPRODUCT($B14:$E14,$B$43:$E$43)</f>
        <v>0</v>
      </c>
      <c r="F63" s="29">
        <f>SUMPRODUCT($B14:$E14,$B$44:$E$44)</f>
        <v>0</v>
      </c>
      <c r="G63" s="29">
        <f>SUMPRODUCT($B14:$E14,$B$45:$E$45)</f>
        <v>0</v>
      </c>
      <c r="H63" s="29">
        <f>SUMPRODUCT($B14:$E14,$B$46:$E$46)</f>
        <v>0</v>
      </c>
      <c r="I63" s="29">
        <f>SUMPRODUCT($B14:$E14,$B$47:$E$47)</f>
        <v>0</v>
      </c>
      <c r="J63" s="10"/>
    </row>
    <row r="64" spans="1:10">
      <c r="A64" s="11" t="s">
        <v>191</v>
      </c>
      <c r="B64" s="29">
        <f>SUMPRODUCT($B15:$E15,$B$40:$E$40)</f>
        <v>0</v>
      </c>
      <c r="C64" s="29">
        <f>SUMPRODUCT($B15:$E15,$B$41:$E$41)</f>
        <v>0</v>
      </c>
      <c r="D64" s="29">
        <f>SUMPRODUCT($B15:$E15,$B$42:$E$42)</f>
        <v>0</v>
      </c>
      <c r="E64" s="29">
        <f>SUMPRODUCT($B15:$E15,$B$43:$E$43)</f>
        <v>0</v>
      </c>
      <c r="F64" s="29">
        <f>SUMPRODUCT($B15:$E15,$B$44:$E$44)</f>
        <v>0</v>
      </c>
      <c r="G64" s="29">
        <f>SUMPRODUCT($B15:$E15,$B$45:$E$45)</f>
        <v>0</v>
      </c>
      <c r="H64" s="29">
        <f>SUMPRODUCT($B15:$E15,$B$46:$E$46)</f>
        <v>0</v>
      </c>
      <c r="I64" s="29">
        <f>SUMPRODUCT($B15:$E15,$B$47:$E$47)</f>
        <v>0</v>
      </c>
      <c r="J64" s="10"/>
    </row>
    <row r="65" spans="1:10">
      <c r="A65" s="11" t="s">
        <v>178</v>
      </c>
      <c r="B65" s="29">
        <f>SUMPRODUCT($B16:$E16,$B$40:$E$40)</f>
        <v>0</v>
      </c>
      <c r="C65" s="29">
        <f>SUMPRODUCT($B16:$E16,$B$41:$E$41)</f>
        <v>0</v>
      </c>
      <c r="D65" s="29">
        <f>SUMPRODUCT($B16:$E16,$B$42:$E$42)</f>
        <v>0</v>
      </c>
      <c r="E65" s="29">
        <f>SUMPRODUCT($B16:$E16,$B$43:$E$43)</f>
        <v>0</v>
      </c>
      <c r="F65" s="29">
        <f>SUMPRODUCT($B16:$E16,$B$44:$E$44)</f>
        <v>0</v>
      </c>
      <c r="G65" s="29">
        <f>SUMPRODUCT($B16:$E16,$B$45:$E$45)</f>
        <v>0</v>
      </c>
      <c r="H65" s="29">
        <f>SUMPRODUCT($B16:$E16,$B$46:$E$46)</f>
        <v>0</v>
      </c>
      <c r="I65" s="29">
        <f>SUMPRODUCT($B16:$E16,$B$47:$E$47)</f>
        <v>0</v>
      </c>
      <c r="J65" s="10"/>
    </row>
    <row r="66" spans="1:10">
      <c r="A66" s="11" t="s">
        <v>179</v>
      </c>
      <c r="B66" s="29">
        <f>SUMPRODUCT($B17:$E17,$B$40:$E$40)</f>
        <v>0</v>
      </c>
      <c r="C66" s="29">
        <f>SUMPRODUCT($B17:$E17,$B$41:$E$41)</f>
        <v>0</v>
      </c>
      <c r="D66" s="29">
        <f>SUMPRODUCT($B17:$E17,$B$42:$E$42)</f>
        <v>0</v>
      </c>
      <c r="E66" s="29">
        <f>SUMPRODUCT($B17:$E17,$B$43:$E$43)</f>
        <v>0</v>
      </c>
      <c r="F66" s="29">
        <f>SUMPRODUCT($B17:$E17,$B$44:$E$44)</f>
        <v>0</v>
      </c>
      <c r="G66" s="29">
        <f>SUMPRODUCT($B17:$E17,$B$45:$E$45)</f>
        <v>0</v>
      </c>
      <c r="H66" s="29">
        <f>SUMPRODUCT($B17:$E17,$B$46:$E$46)</f>
        <v>0</v>
      </c>
      <c r="I66" s="29">
        <f>SUMPRODUCT($B17:$E17,$B$47:$E$47)</f>
        <v>0</v>
      </c>
      <c r="J66" s="10"/>
    </row>
    <row r="67" spans="1:10">
      <c r="A67" s="11" t="s">
        <v>192</v>
      </c>
      <c r="B67" s="29">
        <f>SUMPRODUCT($B18:$E18,$B$40:$E$40)</f>
        <v>0</v>
      </c>
      <c r="C67" s="29">
        <f>SUMPRODUCT($B18:$E18,$B$41:$E$41)</f>
        <v>0</v>
      </c>
      <c r="D67" s="29">
        <f>SUMPRODUCT($B18:$E18,$B$42:$E$42)</f>
        <v>0</v>
      </c>
      <c r="E67" s="29">
        <f>SUMPRODUCT($B18:$E18,$B$43:$E$43)</f>
        <v>0</v>
      </c>
      <c r="F67" s="29">
        <f>SUMPRODUCT($B18:$E18,$B$44:$E$44)</f>
        <v>0</v>
      </c>
      <c r="G67" s="29">
        <f>SUMPRODUCT($B18:$E18,$B$45:$E$45)</f>
        <v>0</v>
      </c>
      <c r="H67" s="29">
        <f>SUMPRODUCT($B18:$E18,$B$46:$E$46)</f>
        <v>0</v>
      </c>
      <c r="I67" s="29">
        <f>SUMPRODUCT($B18:$E18,$B$47:$E$47)</f>
        <v>0</v>
      </c>
      <c r="J67" s="10"/>
    </row>
    <row r="68" spans="1:10">
      <c r="A68" s="11" t="s">
        <v>212</v>
      </c>
      <c r="B68" s="29">
        <f>SUMPRODUCT($B19:$E19,$B$40:$E$40)</f>
        <v>0</v>
      </c>
      <c r="C68" s="29">
        <f>SUMPRODUCT($B19:$E19,$B$41:$E$41)</f>
        <v>0</v>
      </c>
      <c r="D68" s="29">
        <f>SUMPRODUCT($B19:$E19,$B$42:$E$42)</f>
        <v>0</v>
      </c>
      <c r="E68" s="29">
        <f>SUMPRODUCT($B19:$E19,$B$43:$E$43)</f>
        <v>0</v>
      </c>
      <c r="F68" s="29">
        <f>SUMPRODUCT($B19:$E19,$B$44:$E$44)</f>
        <v>0</v>
      </c>
      <c r="G68" s="29">
        <f>SUMPRODUCT($B19:$E19,$B$45:$E$45)</f>
        <v>0</v>
      </c>
      <c r="H68" s="29">
        <f>SUMPRODUCT($B19:$E19,$B$46:$E$46)</f>
        <v>0</v>
      </c>
      <c r="I68" s="29">
        <f>SUMPRODUCT($B19:$E19,$B$47:$E$47)</f>
        <v>0</v>
      </c>
      <c r="J68" s="10"/>
    </row>
    <row r="69" spans="1:10">
      <c r="A69" s="11" t="s">
        <v>213</v>
      </c>
      <c r="B69" s="29">
        <f>SUMPRODUCT($B20:$E20,$B$40:$E$40)</f>
        <v>0</v>
      </c>
      <c r="C69" s="29">
        <f>SUMPRODUCT($B20:$E20,$B$41:$E$41)</f>
        <v>0</v>
      </c>
      <c r="D69" s="29">
        <f>SUMPRODUCT($B20:$E20,$B$42:$E$42)</f>
        <v>0</v>
      </c>
      <c r="E69" s="29">
        <f>SUMPRODUCT($B20:$E20,$B$43:$E$43)</f>
        <v>0</v>
      </c>
      <c r="F69" s="29">
        <f>SUMPRODUCT($B20:$E20,$B$44:$E$44)</f>
        <v>0</v>
      </c>
      <c r="G69" s="29">
        <f>SUMPRODUCT($B20:$E20,$B$45:$E$45)</f>
        <v>0</v>
      </c>
      <c r="H69" s="29">
        <f>SUMPRODUCT($B20:$E20,$B$46:$E$46)</f>
        <v>0</v>
      </c>
      <c r="I69" s="29">
        <f>SUMPRODUCT($B20:$E20,$B$47:$E$47)</f>
        <v>0</v>
      </c>
      <c r="J69" s="10"/>
    </row>
    <row r="70" spans="1:10">
      <c r="A70" s="11" t="s">
        <v>214</v>
      </c>
      <c r="B70" s="29">
        <f>SUMPRODUCT($B21:$E21,$B$40:$E$40)</f>
        <v>0</v>
      </c>
      <c r="C70" s="29">
        <f>SUMPRODUCT($B21:$E21,$B$41:$E$41)</f>
        <v>0</v>
      </c>
      <c r="D70" s="29">
        <f>SUMPRODUCT($B21:$E21,$B$42:$E$42)</f>
        <v>0</v>
      </c>
      <c r="E70" s="29">
        <f>SUMPRODUCT($B21:$E21,$B$43:$E$43)</f>
        <v>0</v>
      </c>
      <c r="F70" s="29">
        <f>SUMPRODUCT($B21:$E21,$B$44:$E$44)</f>
        <v>0</v>
      </c>
      <c r="G70" s="29">
        <f>SUMPRODUCT($B21:$E21,$B$45:$E$45)</f>
        <v>0</v>
      </c>
      <c r="H70" s="29">
        <f>SUMPRODUCT($B21:$E21,$B$46:$E$46)</f>
        <v>0</v>
      </c>
      <c r="I70" s="29">
        <f>SUMPRODUCT($B21:$E21,$B$47:$E$47)</f>
        <v>0</v>
      </c>
      <c r="J70" s="10"/>
    </row>
    <row r="71" spans="1:10">
      <c r="A71" s="11" t="s">
        <v>215</v>
      </c>
      <c r="B71" s="29">
        <f>SUMPRODUCT($B22:$E22,$B$40:$E$40)</f>
        <v>0</v>
      </c>
      <c r="C71" s="29">
        <f>SUMPRODUCT($B22:$E22,$B$41:$E$41)</f>
        <v>0</v>
      </c>
      <c r="D71" s="29">
        <f>SUMPRODUCT($B22:$E22,$B$42:$E$42)</f>
        <v>0</v>
      </c>
      <c r="E71" s="29">
        <f>SUMPRODUCT($B22:$E22,$B$43:$E$43)</f>
        <v>0</v>
      </c>
      <c r="F71" s="29">
        <f>SUMPRODUCT($B22:$E22,$B$44:$E$44)</f>
        <v>0</v>
      </c>
      <c r="G71" s="29">
        <f>SUMPRODUCT($B22:$E22,$B$45:$E$45)</f>
        <v>0</v>
      </c>
      <c r="H71" s="29">
        <f>SUMPRODUCT($B22:$E22,$B$46:$E$46)</f>
        <v>0</v>
      </c>
      <c r="I71" s="29">
        <f>SUMPRODUCT($B22:$E22,$B$47:$E$47)</f>
        <v>0</v>
      </c>
      <c r="J71" s="10"/>
    </row>
    <row r="72" spans="1:10">
      <c r="A72" s="11" t="s">
        <v>216</v>
      </c>
      <c r="B72" s="29">
        <f>SUMPRODUCT($B23:$E23,$B$40:$E$40)</f>
        <v>0</v>
      </c>
      <c r="C72" s="29">
        <f>SUMPRODUCT($B23:$E23,$B$41:$E$41)</f>
        <v>0</v>
      </c>
      <c r="D72" s="29">
        <f>SUMPRODUCT($B23:$E23,$B$42:$E$42)</f>
        <v>0</v>
      </c>
      <c r="E72" s="29">
        <f>SUMPRODUCT($B23:$E23,$B$43:$E$43)</f>
        <v>0</v>
      </c>
      <c r="F72" s="29">
        <f>SUMPRODUCT($B23:$E23,$B$44:$E$44)</f>
        <v>0</v>
      </c>
      <c r="G72" s="29">
        <f>SUMPRODUCT($B23:$E23,$B$45:$E$45)</f>
        <v>0</v>
      </c>
      <c r="H72" s="29">
        <f>SUMPRODUCT($B23:$E23,$B$46:$E$46)</f>
        <v>0</v>
      </c>
      <c r="I72" s="29">
        <f>SUMPRODUCT($B23:$E23,$B$47:$E$47)</f>
        <v>0</v>
      </c>
      <c r="J72" s="10"/>
    </row>
    <row r="73" spans="1:10">
      <c r="A73" s="11" t="s">
        <v>180</v>
      </c>
      <c r="B73" s="29">
        <f>SUMPRODUCT($B24:$E24,$B$40:$E$40)</f>
        <v>0</v>
      </c>
      <c r="C73" s="29">
        <f>SUMPRODUCT($B24:$E24,$B$41:$E$41)</f>
        <v>0</v>
      </c>
      <c r="D73" s="29">
        <f>SUMPRODUCT($B24:$E24,$B$42:$E$42)</f>
        <v>0</v>
      </c>
      <c r="E73" s="29">
        <f>SUMPRODUCT($B24:$E24,$B$43:$E$43)</f>
        <v>0</v>
      </c>
      <c r="F73" s="29">
        <f>SUMPRODUCT($B24:$E24,$B$44:$E$44)</f>
        <v>0</v>
      </c>
      <c r="G73" s="29">
        <f>SUMPRODUCT($B24:$E24,$B$45:$E$45)</f>
        <v>0</v>
      </c>
      <c r="H73" s="29">
        <f>SUMPRODUCT($B24:$E24,$B$46:$E$46)</f>
        <v>0</v>
      </c>
      <c r="I73" s="29">
        <f>SUMPRODUCT($B24:$E24,$B$47:$E$47)</f>
        <v>0</v>
      </c>
      <c r="J73" s="10"/>
    </row>
    <row r="74" spans="1:10">
      <c r="A74" s="11" t="s">
        <v>181</v>
      </c>
      <c r="B74" s="29">
        <f>SUMPRODUCT($B25:$E25,$B$40:$E$40)</f>
        <v>0</v>
      </c>
      <c r="C74" s="29">
        <f>SUMPRODUCT($B25:$E25,$B$41:$E$41)</f>
        <v>0</v>
      </c>
      <c r="D74" s="29">
        <f>SUMPRODUCT($B25:$E25,$B$42:$E$42)</f>
        <v>0</v>
      </c>
      <c r="E74" s="29">
        <f>SUMPRODUCT($B25:$E25,$B$43:$E$43)</f>
        <v>0</v>
      </c>
      <c r="F74" s="29">
        <f>SUMPRODUCT($B25:$E25,$B$44:$E$44)</f>
        <v>0</v>
      </c>
      <c r="G74" s="29">
        <f>SUMPRODUCT($B25:$E25,$B$45:$E$45)</f>
        <v>0</v>
      </c>
      <c r="H74" s="29">
        <f>SUMPRODUCT($B25:$E25,$B$46:$E$46)</f>
        <v>0</v>
      </c>
      <c r="I74" s="29">
        <f>SUMPRODUCT($B25:$E25,$B$47:$E$47)</f>
        <v>0</v>
      </c>
      <c r="J74" s="10"/>
    </row>
    <row r="75" spans="1:10">
      <c r="A75" s="11" t="s">
        <v>182</v>
      </c>
      <c r="B75" s="29">
        <f>SUMPRODUCT($B26:$E26,$B$40:$E$40)</f>
        <v>0</v>
      </c>
      <c r="C75" s="29">
        <f>SUMPRODUCT($B26:$E26,$B$41:$E$41)</f>
        <v>0</v>
      </c>
      <c r="D75" s="29">
        <f>SUMPRODUCT($B26:$E26,$B$42:$E$42)</f>
        <v>0</v>
      </c>
      <c r="E75" s="29">
        <f>SUMPRODUCT($B26:$E26,$B$43:$E$43)</f>
        <v>0</v>
      </c>
      <c r="F75" s="29">
        <f>SUMPRODUCT($B26:$E26,$B$44:$E$44)</f>
        <v>0</v>
      </c>
      <c r="G75" s="29">
        <f>SUMPRODUCT($B26:$E26,$B$45:$E$45)</f>
        <v>0</v>
      </c>
      <c r="H75" s="29">
        <f>SUMPRODUCT($B26:$E26,$B$46:$E$46)</f>
        <v>0</v>
      </c>
      <c r="I75" s="29">
        <f>SUMPRODUCT($B26:$E26,$B$47:$E$47)</f>
        <v>0</v>
      </c>
      <c r="J75" s="10"/>
    </row>
    <row r="76" spans="1:10">
      <c r="A76" s="11" t="s">
        <v>183</v>
      </c>
      <c r="B76" s="29">
        <f>SUMPRODUCT($B27:$E27,$B$40:$E$40)</f>
        <v>0</v>
      </c>
      <c r="C76" s="29">
        <f>SUMPRODUCT($B27:$E27,$B$41:$E$41)</f>
        <v>0</v>
      </c>
      <c r="D76" s="29">
        <f>SUMPRODUCT($B27:$E27,$B$42:$E$42)</f>
        <v>0</v>
      </c>
      <c r="E76" s="29">
        <f>SUMPRODUCT($B27:$E27,$B$43:$E$43)</f>
        <v>0</v>
      </c>
      <c r="F76" s="29">
        <f>SUMPRODUCT($B27:$E27,$B$44:$E$44)</f>
        <v>0</v>
      </c>
      <c r="G76" s="29">
        <f>SUMPRODUCT($B27:$E27,$B$45:$E$45)</f>
        <v>0</v>
      </c>
      <c r="H76" s="29">
        <f>SUMPRODUCT($B27:$E27,$B$46:$E$46)</f>
        <v>0</v>
      </c>
      <c r="I76" s="29">
        <f>SUMPRODUCT($B27:$E27,$B$47:$E$47)</f>
        <v>0</v>
      </c>
      <c r="J76" s="10"/>
    </row>
    <row r="77" spans="1:10">
      <c r="A77" s="11" t="s">
        <v>184</v>
      </c>
      <c r="B77" s="29">
        <f>SUMPRODUCT($B28:$E28,$B$40:$E$40)</f>
        <v>0</v>
      </c>
      <c r="C77" s="29">
        <f>SUMPRODUCT($B28:$E28,$B$41:$E$41)</f>
        <v>0</v>
      </c>
      <c r="D77" s="29">
        <f>SUMPRODUCT($B28:$E28,$B$42:$E$42)</f>
        <v>0</v>
      </c>
      <c r="E77" s="29">
        <f>SUMPRODUCT($B28:$E28,$B$43:$E$43)</f>
        <v>0</v>
      </c>
      <c r="F77" s="29">
        <f>SUMPRODUCT($B28:$E28,$B$44:$E$44)</f>
        <v>0</v>
      </c>
      <c r="G77" s="29">
        <f>SUMPRODUCT($B28:$E28,$B$45:$E$45)</f>
        <v>0</v>
      </c>
      <c r="H77" s="29">
        <f>SUMPRODUCT($B28:$E28,$B$46:$E$46)</f>
        <v>0</v>
      </c>
      <c r="I77" s="29">
        <f>SUMPRODUCT($B28:$E28,$B$47:$E$47)</f>
        <v>0</v>
      </c>
      <c r="J77" s="10"/>
    </row>
    <row r="78" spans="1:10">
      <c r="A78" s="11" t="s">
        <v>185</v>
      </c>
      <c r="B78" s="29">
        <f>SUMPRODUCT($B29:$E29,$B$40:$E$40)</f>
        <v>0</v>
      </c>
      <c r="C78" s="29">
        <f>SUMPRODUCT($B29:$E29,$B$41:$E$41)</f>
        <v>0</v>
      </c>
      <c r="D78" s="29">
        <f>SUMPRODUCT($B29:$E29,$B$42:$E$42)</f>
        <v>0</v>
      </c>
      <c r="E78" s="29">
        <f>SUMPRODUCT($B29:$E29,$B$43:$E$43)</f>
        <v>0</v>
      </c>
      <c r="F78" s="29">
        <f>SUMPRODUCT($B29:$E29,$B$44:$E$44)</f>
        <v>0</v>
      </c>
      <c r="G78" s="29">
        <f>SUMPRODUCT($B29:$E29,$B$45:$E$45)</f>
        <v>0</v>
      </c>
      <c r="H78" s="29">
        <f>SUMPRODUCT($B29:$E29,$B$46:$E$46)</f>
        <v>0</v>
      </c>
      <c r="I78" s="29">
        <f>SUMPRODUCT($B29:$E29,$B$47:$E$47)</f>
        <v>0</v>
      </c>
      <c r="J78" s="10"/>
    </row>
    <row r="79" spans="1:10">
      <c r="A79" s="11" t="s">
        <v>193</v>
      </c>
      <c r="B79" s="29">
        <f>SUMPRODUCT($B30:$E30,$B$40:$E$40)</f>
        <v>0</v>
      </c>
      <c r="C79" s="29">
        <f>SUMPRODUCT($B30:$E30,$B$41:$E$41)</f>
        <v>0</v>
      </c>
      <c r="D79" s="29">
        <f>SUMPRODUCT($B30:$E30,$B$42:$E$42)</f>
        <v>0</v>
      </c>
      <c r="E79" s="29">
        <f>SUMPRODUCT($B30:$E30,$B$43:$E$43)</f>
        <v>0</v>
      </c>
      <c r="F79" s="29">
        <f>SUMPRODUCT($B30:$E30,$B$44:$E$44)</f>
        <v>0</v>
      </c>
      <c r="G79" s="29">
        <f>SUMPRODUCT($B30:$E30,$B$45:$E$45)</f>
        <v>0</v>
      </c>
      <c r="H79" s="29">
        <f>SUMPRODUCT($B30:$E30,$B$46:$E$46)</f>
        <v>0</v>
      </c>
      <c r="I79" s="29">
        <f>SUMPRODUCT($B30:$E30,$B$47:$E$47)</f>
        <v>0</v>
      </c>
      <c r="J79" s="10"/>
    </row>
    <row r="80" spans="1:10">
      <c r="A80" s="11" t="s">
        <v>194</v>
      </c>
      <c r="B80" s="29">
        <f>SUMPRODUCT($B31:$E31,$B$40:$E$40)</f>
        <v>0</v>
      </c>
      <c r="C80" s="29">
        <f>SUMPRODUCT($B31:$E31,$B$41:$E$41)</f>
        <v>0</v>
      </c>
      <c r="D80" s="29">
        <f>SUMPRODUCT($B31:$E31,$B$42:$E$42)</f>
        <v>0</v>
      </c>
      <c r="E80" s="29">
        <f>SUMPRODUCT($B31:$E31,$B$43:$E$43)</f>
        <v>0</v>
      </c>
      <c r="F80" s="29">
        <f>SUMPRODUCT($B31:$E31,$B$44:$E$44)</f>
        <v>0</v>
      </c>
      <c r="G80" s="29">
        <f>SUMPRODUCT($B31:$E31,$B$45:$E$45)</f>
        <v>0</v>
      </c>
      <c r="H80" s="29">
        <f>SUMPRODUCT($B31:$E31,$B$46:$E$46)</f>
        <v>0</v>
      </c>
      <c r="I80" s="29">
        <f>SUMPRODUCT($B31:$E31,$B$47:$E$47)</f>
        <v>0</v>
      </c>
      <c r="J80" s="10"/>
    </row>
    <row r="82" spans="1:20">
      <c r="A82" s="1" t="s">
        <v>896</v>
      </c>
    </row>
    <row r="83" spans="1:20">
      <c r="A83" s="2" t="s">
        <v>349</v>
      </c>
    </row>
    <row r="84" spans="1:20">
      <c r="A84" s="2" t="s">
        <v>897</v>
      </c>
    </row>
    <row r="85" spans="1:20">
      <c r="A85" s="2" t="s">
        <v>898</v>
      </c>
    </row>
    <row r="86" spans="1:20">
      <c r="A86" s="12" t="s">
        <v>899</v>
      </c>
    </row>
    <row r="87" spans="1:20">
      <c r="A87" s="2" t="s">
        <v>392</v>
      </c>
    </row>
    <row r="89" spans="1:20">
      <c r="B89" s="3" t="s">
        <v>140</v>
      </c>
      <c r="C89" s="3" t="s">
        <v>304</v>
      </c>
      <c r="D89" s="3" t="s">
        <v>305</v>
      </c>
      <c r="E89" s="3" t="s">
        <v>306</v>
      </c>
      <c r="F89" s="3" t="s">
        <v>307</v>
      </c>
      <c r="G89" s="3" t="s">
        <v>308</v>
      </c>
      <c r="H89" s="3" t="s">
        <v>309</v>
      </c>
      <c r="I89" s="3" t="s">
        <v>310</v>
      </c>
      <c r="J89" s="3" t="s">
        <v>311</v>
      </c>
      <c r="K89" s="3" t="s">
        <v>292</v>
      </c>
      <c r="L89" s="3" t="s">
        <v>810</v>
      </c>
      <c r="M89" s="3" t="s">
        <v>811</v>
      </c>
      <c r="N89" s="3" t="s">
        <v>812</v>
      </c>
      <c r="O89" s="3" t="s">
        <v>813</v>
      </c>
      <c r="P89" s="3" t="s">
        <v>814</v>
      </c>
      <c r="Q89" s="3" t="s">
        <v>815</v>
      </c>
      <c r="R89" s="3" t="s">
        <v>816</v>
      </c>
      <c r="S89" s="3" t="s">
        <v>817</v>
      </c>
    </row>
    <row r="90" spans="1:20">
      <c r="A90" s="11" t="s">
        <v>172</v>
      </c>
      <c r="B90" s="30">
        <v>0</v>
      </c>
      <c r="C90" s="31">
        <f>$B56</f>
        <v>0</v>
      </c>
      <c r="D90" s="31">
        <f>$C56</f>
        <v>0</v>
      </c>
      <c r="E90" s="31">
        <f>$D56</f>
        <v>0</v>
      </c>
      <c r="F90" s="31">
        <f>$E56</f>
        <v>0</v>
      </c>
      <c r="G90" s="31">
        <f>$F56</f>
        <v>0</v>
      </c>
      <c r="H90" s="31">
        <f>$G56</f>
        <v>0</v>
      </c>
      <c r="I90" s="31">
        <f>$H56</f>
        <v>0</v>
      </c>
      <c r="J90" s="31">
        <f>$I56</f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10"/>
    </row>
    <row r="91" spans="1:20">
      <c r="A91" s="11" t="s">
        <v>173</v>
      </c>
      <c r="B91" s="30">
        <v>0</v>
      </c>
      <c r="C91" s="31">
        <f>$B57</f>
        <v>0</v>
      </c>
      <c r="D91" s="31">
        <f>$C57</f>
        <v>0</v>
      </c>
      <c r="E91" s="31">
        <f>$D57</f>
        <v>0</v>
      </c>
      <c r="F91" s="31">
        <f>$E57</f>
        <v>0</v>
      </c>
      <c r="G91" s="31">
        <f>$F57</f>
        <v>0</v>
      </c>
      <c r="H91" s="31">
        <f>$G57</f>
        <v>0</v>
      </c>
      <c r="I91" s="31">
        <f>$H57</f>
        <v>0</v>
      </c>
      <c r="J91" s="31">
        <f>$I57</f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10"/>
    </row>
    <row r="92" spans="1:20">
      <c r="A92" s="11" t="s">
        <v>210</v>
      </c>
      <c r="B92" s="30">
        <v>0</v>
      </c>
      <c r="C92" s="31">
        <f>$B58</f>
        <v>0</v>
      </c>
      <c r="D92" s="31">
        <f>$C58</f>
        <v>0</v>
      </c>
      <c r="E92" s="31">
        <f>$D58</f>
        <v>0</v>
      </c>
      <c r="F92" s="31">
        <f>$E58</f>
        <v>0</v>
      </c>
      <c r="G92" s="31">
        <f>$F58</f>
        <v>0</v>
      </c>
      <c r="H92" s="31">
        <f>$G58</f>
        <v>0</v>
      </c>
      <c r="I92" s="31">
        <f>$H58</f>
        <v>0</v>
      </c>
      <c r="J92" s="31">
        <f>$I58</f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10"/>
    </row>
    <row r="93" spans="1:20">
      <c r="A93" s="11" t="s">
        <v>174</v>
      </c>
      <c r="B93" s="30">
        <v>0</v>
      </c>
      <c r="C93" s="31">
        <f>$B59</f>
        <v>0</v>
      </c>
      <c r="D93" s="31">
        <f>$C59</f>
        <v>0</v>
      </c>
      <c r="E93" s="31">
        <f>$D59</f>
        <v>0</v>
      </c>
      <c r="F93" s="31">
        <f>$E59</f>
        <v>0</v>
      </c>
      <c r="G93" s="31">
        <f>$F59</f>
        <v>0</v>
      </c>
      <c r="H93" s="31">
        <f>$G59</f>
        <v>0</v>
      </c>
      <c r="I93" s="31">
        <f>$H59</f>
        <v>0</v>
      </c>
      <c r="J93" s="31">
        <f>$I59</f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10"/>
    </row>
    <row r="94" spans="1:20">
      <c r="A94" s="11" t="s">
        <v>175</v>
      </c>
      <c r="B94" s="30">
        <v>0</v>
      </c>
      <c r="C94" s="31">
        <f>$B60</f>
        <v>0</v>
      </c>
      <c r="D94" s="31">
        <f>$C60</f>
        <v>0</v>
      </c>
      <c r="E94" s="31">
        <f>$D60</f>
        <v>0</v>
      </c>
      <c r="F94" s="31">
        <f>$E60</f>
        <v>0</v>
      </c>
      <c r="G94" s="31">
        <f>$F60</f>
        <v>0</v>
      </c>
      <c r="H94" s="31">
        <f>$G60</f>
        <v>0</v>
      </c>
      <c r="I94" s="31">
        <f>$H60</f>
        <v>0</v>
      </c>
      <c r="J94" s="31">
        <f>$I60</f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10"/>
    </row>
    <row r="95" spans="1:20">
      <c r="A95" s="11" t="s">
        <v>211</v>
      </c>
      <c r="B95" s="30">
        <v>0</v>
      </c>
      <c r="C95" s="31">
        <f>$B61</f>
        <v>0</v>
      </c>
      <c r="D95" s="31">
        <f>$C61</f>
        <v>0</v>
      </c>
      <c r="E95" s="31">
        <f>$D61</f>
        <v>0</v>
      </c>
      <c r="F95" s="31">
        <f>$E61</f>
        <v>0</v>
      </c>
      <c r="G95" s="31">
        <f>$F61</f>
        <v>0</v>
      </c>
      <c r="H95" s="31">
        <f>$G61</f>
        <v>0</v>
      </c>
      <c r="I95" s="31">
        <f>$H61</f>
        <v>0</v>
      </c>
      <c r="J95" s="31">
        <f>$I61</f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10"/>
    </row>
    <row r="96" spans="1:20">
      <c r="A96" s="11" t="s">
        <v>176</v>
      </c>
      <c r="B96" s="30">
        <v>0</v>
      </c>
      <c r="C96" s="31">
        <f>$B62</f>
        <v>0</v>
      </c>
      <c r="D96" s="31">
        <f>$C62</f>
        <v>0</v>
      </c>
      <c r="E96" s="31">
        <f>$D62</f>
        <v>0</v>
      </c>
      <c r="F96" s="31">
        <f>$E62</f>
        <v>0</v>
      </c>
      <c r="G96" s="31">
        <f>$F62</f>
        <v>0</v>
      </c>
      <c r="H96" s="31">
        <f>$G62</f>
        <v>0</v>
      </c>
      <c r="I96" s="31">
        <f>$H62</f>
        <v>0</v>
      </c>
      <c r="J96" s="31">
        <f>$I62</f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10"/>
    </row>
    <row r="97" spans="1:20">
      <c r="A97" s="11" t="s">
        <v>177</v>
      </c>
      <c r="B97" s="30">
        <v>0</v>
      </c>
      <c r="C97" s="31">
        <f>$B63</f>
        <v>0</v>
      </c>
      <c r="D97" s="31">
        <f>$C63</f>
        <v>0</v>
      </c>
      <c r="E97" s="31">
        <f>$D63</f>
        <v>0</v>
      </c>
      <c r="F97" s="31">
        <f>$E63</f>
        <v>0</v>
      </c>
      <c r="G97" s="31">
        <f>$F63</f>
        <v>0</v>
      </c>
      <c r="H97" s="31">
        <f>$G63</f>
        <v>0</v>
      </c>
      <c r="I97" s="31">
        <f>$H63</f>
        <v>0</v>
      </c>
      <c r="J97" s="31">
        <f>$I63</f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10"/>
    </row>
    <row r="98" spans="1:20">
      <c r="A98" s="11" t="s">
        <v>191</v>
      </c>
      <c r="B98" s="30">
        <v>0</v>
      </c>
      <c r="C98" s="31">
        <f>$B64</f>
        <v>0</v>
      </c>
      <c r="D98" s="31">
        <f>$C64</f>
        <v>0</v>
      </c>
      <c r="E98" s="31">
        <f>$D64</f>
        <v>0</v>
      </c>
      <c r="F98" s="31">
        <f>$E64</f>
        <v>0</v>
      </c>
      <c r="G98" s="31">
        <f>$F64</f>
        <v>0</v>
      </c>
      <c r="H98" s="31">
        <f>$G64</f>
        <v>0</v>
      </c>
      <c r="I98" s="31">
        <f>$H64</f>
        <v>0</v>
      </c>
      <c r="J98" s="31">
        <f>$I64</f>
        <v>0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10"/>
    </row>
    <row r="99" spans="1:20">
      <c r="A99" s="11" t="s">
        <v>178</v>
      </c>
      <c r="B99" s="30">
        <v>0</v>
      </c>
      <c r="C99" s="31">
        <f>$B65</f>
        <v>0</v>
      </c>
      <c r="D99" s="31">
        <f>$C65</f>
        <v>0</v>
      </c>
      <c r="E99" s="31">
        <f>$D65</f>
        <v>0</v>
      </c>
      <c r="F99" s="31">
        <f>$E65</f>
        <v>0</v>
      </c>
      <c r="G99" s="31">
        <f>$F65</f>
        <v>0</v>
      </c>
      <c r="H99" s="31">
        <f>$G65</f>
        <v>0</v>
      </c>
      <c r="I99" s="31">
        <f>$H65</f>
        <v>0</v>
      </c>
      <c r="J99" s="31">
        <f>$I65</f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10"/>
    </row>
    <row r="100" spans="1:20">
      <c r="A100" s="11" t="s">
        <v>179</v>
      </c>
      <c r="B100" s="30">
        <v>0</v>
      </c>
      <c r="C100" s="31">
        <f>$B66</f>
        <v>0</v>
      </c>
      <c r="D100" s="31">
        <f>$C66</f>
        <v>0</v>
      </c>
      <c r="E100" s="31">
        <f>$D66</f>
        <v>0</v>
      </c>
      <c r="F100" s="31">
        <f>$E66</f>
        <v>0</v>
      </c>
      <c r="G100" s="31">
        <f>$F66</f>
        <v>0</v>
      </c>
      <c r="H100" s="31">
        <f>$G66</f>
        <v>0</v>
      </c>
      <c r="I100" s="31">
        <f>$H66</f>
        <v>0</v>
      </c>
      <c r="J100" s="31">
        <f>$I66</f>
        <v>0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10"/>
    </row>
    <row r="101" spans="1:20">
      <c r="A101" s="11" t="s">
        <v>192</v>
      </c>
      <c r="B101" s="30">
        <v>0</v>
      </c>
      <c r="C101" s="31">
        <f>$B67</f>
        <v>0</v>
      </c>
      <c r="D101" s="31">
        <f>$C67</f>
        <v>0</v>
      </c>
      <c r="E101" s="31">
        <f>$D67</f>
        <v>0</v>
      </c>
      <c r="F101" s="31">
        <f>$E67</f>
        <v>0</v>
      </c>
      <c r="G101" s="31">
        <f>$F67</f>
        <v>0</v>
      </c>
      <c r="H101" s="31">
        <f>$G67</f>
        <v>0</v>
      </c>
      <c r="I101" s="31">
        <f>$H67</f>
        <v>0</v>
      </c>
      <c r="J101" s="31">
        <f>$I67</f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10"/>
    </row>
    <row r="102" spans="1:20">
      <c r="A102" s="11" t="s">
        <v>212</v>
      </c>
      <c r="B102" s="30">
        <v>0</v>
      </c>
      <c r="C102" s="31">
        <f>$B68</f>
        <v>0</v>
      </c>
      <c r="D102" s="31">
        <f>$C68</f>
        <v>0</v>
      </c>
      <c r="E102" s="31">
        <f>$D68</f>
        <v>0</v>
      </c>
      <c r="F102" s="31">
        <f>$E68</f>
        <v>0</v>
      </c>
      <c r="G102" s="31">
        <f>$F68</f>
        <v>0</v>
      </c>
      <c r="H102" s="31">
        <f>$G68</f>
        <v>0</v>
      </c>
      <c r="I102" s="31">
        <f>$H68</f>
        <v>0</v>
      </c>
      <c r="J102" s="31">
        <f>$I68</f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10"/>
    </row>
    <row r="103" spans="1:20">
      <c r="A103" s="11" t="s">
        <v>213</v>
      </c>
      <c r="B103" s="30">
        <v>0</v>
      </c>
      <c r="C103" s="31">
        <f>$B69</f>
        <v>0</v>
      </c>
      <c r="D103" s="31">
        <f>$C69</f>
        <v>0</v>
      </c>
      <c r="E103" s="31">
        <f>$D69</f>
        <v>0</v>
      </c>
      <c r="F103" s="31">
        <f>$E69</f>
        <v>0</v>
      </c>
      <c r="G103" s="31">
        <f>$F69</f>
        <v>0</v>
      </c>
      <c r="H103" s="31">
        <f>$G69</f>
        <v>0</v>
      </c>
      <c r="I103" s="31">
        <f>$H69</f>
        <v>0</v>
      </c>
      <c r="J103" s="31">
        <f>$I69</f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  <c r="R103" s="30">
        <v>0</v>
      </c>
      <c r="S103" s="30">
        <v>0</v>
      </c>
      <c r="T103" s="10"/>
    </row>
    <row r="104" spans="1:20">
      <c r="A104" s="11" t="s">
        <v>214</v>
      </c>
      <c r="B104" s="30">
        <v>0</v>
      </c>
      <c r="C104" s="31">
        <f>$B70</f>
        <v>0</v>
      </c>
      <c r="D104" s="31">
        <f>$C70</f>
        <v>0</v>
      </c>
      <c r="E104" s="31">
        <f>$D70</f>
        <v>0</v>
      </c>
      <c r="F104" s="31">
        <f>$E70</f>
        <v>0</v>
      </c>
      <c r="G104" s="31">
        <f>$F70</f>
        <v>0</v>
      </c>
      <c r="H104" s="31">
        <f>$G70</f>
        <v>0</v>
      </c>
      <c r="I104" s="31">
        <f>$H70</f>
        <v>0</v>
      </c>
      <c r="J104" s="31">
        <f>$I70</f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10"/>
    </row>
    <row r="105" spans="1:20">
      <c r="A105" s="11" t="s">
        <v>215</v>
      </c>
      <c r="B105" s="30">
        <v>0</v>
      </c>
      <c r="C105" s="31">
        <f>$B71</f>
        <v>0</v>
      </c>
      <c r="D105" s="31">
        <f>$C71</f>
        <v>0</v>
      </c>
      <c r="E105" s="31">
        <f>$D71</f>
        <v>0</v>
      </c>
      <c r="F105" s="31">
        <f>$E71</f>
        <v>0</v>
      </c>
      <c r="G105" s="31">
        <f>$F71</f>
        <v>0</v>
      </c>
      <c r="H105" s="31">
        <f>$G71</f>
        <v>0</v>
      </c>
      <c r="I105" s="31">
        <f>$H71</f>
        <v>0</v>
      </c>
      <c r="J105" s="31">
        <f>$I71</f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10"/>
    </row>
    <row r="106" spans="1:20">
      <c r="A106" s="11" t="s">
        <v>216</v>
      </c>
      <c r="B106" s="30">
        <v>0</v>
      </c>
      <c r="C106" s="31">
        <f>$B72</f>
        <v>0</v>
      </c>
      <c r="D106" s="31">
        <f>$C72</f>
        <v>0</v>
      </c>
      <c r="E106" s="31">
        <f>$D72</f>
        <v>0</v>
      </c>
      <c r="F106" s="31">
        <f>$E72</f>
        <v>0</v>
      </c>
      <c r="G106" s="31">
        <f>$F72</f>
        <v>0</v>
      </c>
      <c r="H106" s="31">
        <f>$G72</f>
        <v>0</v>
      </c>
      <c r="I106" s="31">
        <f>$H72</f>
        <v>0</v>
      </c>
      <c r="J106" s="31">
        <f>$I72</f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10"/>
    </row>
    <row r="107" spans="1:20">
      <c r="A107" s="11" t="s">
        <v>180</v>
      </c>
      <c r="B107" s="30">
        <v>0</v>
      </c>
      <c r="C107" s="31">
        <f>$B73</f>
        <v>0</v>
      </c>
      <c r="D107" s="31">
        <f>$C73</f>
        <v>0</v>
      </c>
      <c r="E107" s="31">
        <f>$D73</f>
        <v>0</v>
      </c>
      <c r="F107" s="31">
        <f>$E73</f>
        <v>0</v>
      </c>
      <c r="G107" s="31">
        <f>$F73</f>
        <v>0</v>
      </c>
      <c r="H107" s="31">
        <f>$G73</f>
        <v>0</v>
      </c>
      <c r="I107" s="31">
        <f>$H73</f>
        <v>0</v>
      </c>
      <c r="J107" s="31">
        <f>$I73</f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10"/>
    </row>
    <row r="108" spans="1:20">
      <c r="A108" s="11" t="s">
        <v>181</v>
      </c>
      <c r="B108" s="30">
        <v>0</v>
      </c>
      <c r="C108" s="31">
        <f>$B74</f>
        <v>0</v>
      </c>
      <c r="D108" s="31">
        <f>$C74</f>
        <v>0</v>
      </c>
      <c r="E108" s="31">
        <f>$D74</f>
        <v>0</v>
      </c>
      <c r="F108" s="31">
        <f>$E74</f>
        <v>0</v>
      </c>
      <c r="G108" s="31">
        <f>$F74</f>
        <v>0</v>
      </c>
      <c r="H108" s="31">
        <f>$G74</f>
        <v>0</v>
      </c>
      <c r="I108" s="31">
        <f>$H74</f>
        <v>0</v>
      </c>
      <c r="J108" s="31">
        <f>$I74</f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10"/>
    </row>
    <row r="109" spans="1:20">
      <c r="A109" s="11" t="s">
        <v>182</v>
      </c>
      <c r="B109" s="30">
        <v>0</v>
      </c>
      <c r="C109" s="31">
        <f>$B75</f>
        <v>0</v>
      </c>
      <c r="D109" s="31">
        <f>$C75</f>
        <v>0</v>
      </c>
      <c r="E109" s="31">
        <f>$D75</f>
        <v>0</v>
      </c>
      <c r="F109" s="31">
        <f>$E75</f>
        <v>0</v>
      </c>
      <c r="G109" s="31">
        <f>$F75</f>
        <v>0</v>
      </c>
      <c r="H109" s="31">
        <f>$G75</f>
        <v>0</v>
      </c>
      <c r="I109" s="31">
        <f>$H75</f>
        <v>0</v>
      </c>
      <c r="J109" s="31">
        <f>$I75</f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30">
        <v>0</v>
      </c>
      <c r="S109" s="30">
        <v>0</v>
      </c>
      <c r="T109" s="10"/>
    </row>
    <row r="110" spans="1:20">
      <c r="A110" s="11" t="s">
        <v>183</v>
      </c>
      <c r="B110" s="30">
        <v>0</v>
      </c>
      <c r="C110" s="31">
        <f>$B76</f>
        <v>0</v>
      </c>
      <c r="D110" s="31">
        <f>$C76</f>
        <v>0</v>
      </c>
      <c r="E110" s="31">
        <f>$D76</f>
        <v>0</v>
      </c>
      <c r="F110" s="31">
        <f>$E76</f>
        <v>0</v>
      </c>
      <c r="G110" s="31">
        <f>$F76</f>
        <v>0</v>
      </c>
      <c r="H110" s="31">
        <f>$G76</f>
        <v>0</v>
      </c>
      <c r="I110" s="31">
        <f>$H76</f>
        <v>0</v>
      </c>
      <c r="J110" s="31">
        <f>$I76</f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10"/>
    </row>
    <row r="111" spans="1:20">
      <c r="A111" s="11" t="s">
        <v>184</v>
      </c>
      <c r="B111" s="30">
        <v>0</v>
      </c>
      <c r="C111" s="31">
        <f>$B77</f>
        <v>0</v>
      </c>
      <c r="D111" s="31">
        <f>$C77</f>
        <v>0</v>
      </c>
      <c r="E111" s="31">
        <f>$D77</f>
        <v>0</v>
      </c>
      <c r="F111" s="31">
        <f>$E77</f>
        <v>0</v>
      </c>
      <c r="G111" s="31">
        <f>$F77</f>
        <v>0</v>
      </c>
      <c r="H111" s="31">
        <f>$G77</f>
        <v>0</v>
      </c>
      <c r="I111" s="31">
        <f>$H77</f>
        <v>0</v>
      </c>
      <c r="J111" s="31">
        <f>$I77</f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10"/>
    </row>
    <row r="112" spans="1:20">
      <c r="A112" s="11" t="s">
        <v>185</v>
      </c>
      <c r="B112" s="30">
        <v>0</v>
      </c>
      <c r="C112" s="31">
        <f>$B78</f>
        <v>0</v>
      </c>
      <c r="D112" s="31">
        <f>$C78</f>
        <v>0</v>
      </c>
      <c r="E112" s="31">
        <f>$D78</f>
        <v>0</v>
      </c>
      <c r="F112" s="31">
        <f>$E78</f>
        <v>0</v>
      </c>
      <c r="G112" s="31">
        <f>$F78</f>
        <v>0</v>
      </c>
      <c r="H112" s="31">
        <f>$G78</f>
        <v>0</v>
      </c>
      <c r="I112" s="31">
        <f>$H78</f>
        <v>0</v>
      </c>
      <c r="J112" s="31">
        <f>$I78</f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10"/>
    </row>
    <row r="113" spans="1:20">
      <c r="A113" s="11" t="s">
        <v>193</v>
      </c>
      <c r="B113" s="30">
        <v>0</v>
      </c>
      <c r="C113" s="31">
        <f>$B79</f>
        <v>0</v>
      </c>
      <c r="D113" s="31">
        <f>$C79</f>
        <v>0</v>
      </c>
      <c r="E113" s="31">
        <f>$D79</f>
        <v>0</v>
      </c>
      <c r="F113" s="31">
        <f>$E79</f>
        <v>0</v>
      </c>
      <c r="G113" s="31">
        <f>$F79</f>
        <v>0</v>
      </c>
      <c r="H113" s="31">
        <f>$G79</f>
        <v>0</v>
      </c>
      <c r="I113" s="31">
        <f>$H79</f>
        <v>0</v>
      </c>
      <c r="J113" s="31">
        <f>$I79</f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10"/>
    </row>
    <row r="114" spans="1:20">
      <c r="A114" s="11" t="s">
        <v>194</v>
      </c>
      <c r="B114" s="30">
        <v>0</v>
      </c>
      <c r="C114" s="31">
        <f>$B80</f>
        <v>0</v>
      </c>
      <c r="D114" s="31">
        <f>$C80</f>
        <v>0</v>
      </c>
      <c r="E114" s="31">
        <f>$D80</f>
        <v>0</v>
      </c>
      <c r="F114" s="31">
        <f>$E80</f>
        <v>0</v>
      </c>
      <c r="G114" s="31">
        <f>$F80</f>
        <v>0</v>
      </c>
      <c r="H114" s="31">
        <f>$G80</f>
        <v>0</v>
      </c>
      <c r="I114" s="31">
        <f>$H80</f>
        <v>0</v>
      </c>
      <c r="J114" s="31">
        <f>$I80</f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10"/>
    </row>
  </sheetData>
  <sheetProtection sheet="1" objects="1" scenarios="1"/>
  <hyperlinks>
    <hyperlink ref="A35" location="'Input'!B288" display="x1 = 1060. Customer contributions under current connection charging policy"/>
    <hyperlink ref="A36" location="'Input'!D57" display="x2 = 1010. Annuity proportion for customer-contributed assets (in Financial and general assumptions)"/>
    <hyperlink ref="A51" location="'Contrib'!B6" display="x1 = 2801. Network level of supply (for customer contributions) by tariff"/>
    <hyperlink ref="A52" location="'Contrib'!B39" display="x2 = 2802. Contribution proportion of asset annuities, by customer type and network level of assets"/>
    <hyperlink ref="A86" location="'Contrib'!B55" display="x3 = 2803. Proportion of assets annuities deemed to be covered by customer contributions"/>
  </hyperlinks>
  <pageMargins left="0.7" right="0.7" top="0.75" bottom="0.75" header="0.3" footer="0.3"/>
  <pageSetup fitToHeight="0" orientation="landscape"/>
  <headerFooter>
    <oddHeader>&amp;L&amp;A&amp;Cr6432&amp;R&amp;P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>
      <c r="A1" s="1">
        <f>"Yardsticks"&amp;" for "&amp;'Input'!B7&amp;" in "&amp;'Input'!C7&amp;" ("&amp;'Input'!D7&amp;")"</f>
        <v>0</v>
      </c>
    </row>
    <row r="2" spans="1:20">
      <c r="A2" s="2" t="s">
        <v>900</v>
      </c>
    </row>
    <row r="4" spans="1:20">
      <c r="A4" s="1" t="s">
        <v>901</v>
      </c>
    </row>
    <row r="5" spans="1:20">
      <c r="A5" s="2" t="s">
        <v>349</v>
      </c>
    </row>
    <row r="6" spans="1:20">
      <c r="A6" s="12" t="s">
        <v>902</v>
      </c>
    </row>
    <row r="7" spans="1:20">
      <c r="A7" s="12" t="s">
        <v>903</v>
      </c>
    </row>
    <row r="8" spans="1:20">
      <c r="A8" s="2" t="s">
        <v>367</v>
      </c>
    </row>
    <row r="10" spans="1:20">
      <c r="B10" s="3" t="s">
        <v>140</v>
      </c>
      <c r="C10" s="3" t="s">
        <v>304</v>
      </c>
      <c r="D10" s="3" t="s">
        <v>305</v>
      </c>
      <c r="E10" s="3" t="s">
        <v>306</v>
      </c>
      <c r="F10" s="3" t="s">
        <v>307</v>
      </c>
      <c r="G10" s="3" t="s">
        <v>308</v>
      </c>
      <c r="H10" s="3" t="s">
        <v>309</v>
      </c>
      <c r="I10" s="3" t="s">
        <v>310</v>
      </c>
      <c r="J10" s="3" t="s">
        <v>311</v>
      </c>
      <c r="K10" s="3" t="s">
        <v>292</v>
      </c>
      <c r="L10" s="3" t="s">
        <v>810</v>
      </c>
      <c r="M10" s="3" t="s">
        <v>811</v>
      </c>
      <c r="N10" s="3" t="s">
        <v>812</v>
      </c>
      <c r="O10" s="3" t="s">
        <v>813</v>
      </c>
      <c r="P10" s="3" t="s">
        <v>814</v>
      </c>
      <c r="Q10" s="3" t="s">
        <v>815</v>
      </c>
      <c r="R10" s="3" t="s">
        <v>816</v>
      </c>
      <c r="S10" s="3" t="s">
        <v>817</v>
      </c>
    </row>
    <row r="11" spans="1:20">
      <c r="A11" s="11" t="s">
        <v>904</v>
      </c>
      <c r="B11" s="9"/>
      <c r="C11" s="7">
        <f>'DRM'!$B$130</f>
        <v>0</v>
      </c>
      <c r="D11" s="7">
        <f>'DRM'!$B$131</f>
        <v>0</v>
      </c>
      <c r="E11" s="7">
        <f>'DRM'!$B$132</f>
        <v>0</v>
      </c>
      <c r="F11" s="7">
        <f>'DRM'!$B$133</f>
        <v>0</v>
      </c>
      <c r="G11" s="7">
        <f>'DRM'!$B$134</f>
        <v>0</v>
      </c>
      <c r="H11" s="7">
        <f>'DRM'!$B$135</f>
        <v>0</v>
      </c>
      <c r="I11" s="7">
        <f>'DRM'!$B$136</f>
        <v>0</v>
      </c>
      <c r="J11" s="7">
        <f>'DRM'!$B$137</f>
        <v>0</v>
      </c>
      <c r="K11" s="7">
        <f>'Otex'!$B108</f>
        <v>0</v>
      </c>
      <c r="L11" s="7">
        <f>'Otex'!$C108</f>
        <v>0</v>
      </c>
      <c r="M11" s="7">
        <f>'Otex'!$D108</f>
        <v>0</v>
      </c>
      <c r="N11" s="7">
        <f>'Otex'!$E108</f>
        <v>0</v>
      </c>
      <c r="O11" s="7">
        <f>'Otex'!$F108</f>
        <v>0</v>
      </c>
      <c r="P11" s="7">
        <f>'Otex'!$G108</f>
        <v>0</v>
      </c>
      <c r="Q11" s="7">
        <f>'Otex'!$H108</f>
        <v>0</v>
      </c>
      <c r="R11" s="7">
        <f>'Otex'!$I108</f>
        <v>0</v>
      </c>
      <c r="S11" s="7">
        <f>'Otex'!$J108</f>
        <v>0</v>
      </c>
      <c r="T11" s="10"/>
    </row>
    <row r="13" spans="1:20">
      <c r="A13" s="1" t="s">
        <v>905</v>
      </c>
    </row>
    <row r="14" spans="1:20">
      <c r="A14" s="2" t="s">
        <v>349</v>
      </c>
    </row>
    <row r="15" spans="1:20">
      <c r="A15" s="12" t="s">
        <v>906</v>
      </c>
    </row>
    <row r="16" spans="1:20">
      <c r="A16" s="12" t="s">
        <v>743</v>
      </c>
    </row>
    <row r="17" spans="1:20">
      <c r="A17" s="12" t="s">
        <v>730</v>
      </c>
    </row>
    <row r="18" spans="1:20">
      <c r="A18" s="12" t="s">
        <v>907</v>
      </c>
    </row>
    <row r="19" spans="1:20">
      <c r="A19" s="12" t="s">
        <v>663</v>
      </c>
    </row>
    <row r="20" spans="1:20">
      <c r="A20" s="2" t="s">
        <v>908</v>
      </c>
    </row>
    <row r="22" spans="1:20">
      <c r="B22" s="3" t="s">
        <v>140</v>
      </c>
      <c r="C22" s="3" t="s">
        <v>304</v>
      </c>
      <c r="D22" s="3" t="s">
        <v>305</v>
      </c>
      <c r="E22" s="3" t="s">
        <v>306</v>
      </c>
      <c r="F22" s="3" t="s">
        <v>307</v>
      </c>
      <c r="G22" s="3" t="s">
        <v>308</v>
      </c>
      <c r="H22" s="3" t="s">
        <v>309</v>
      </c>
      <c r="I22" s="3" t="s">
        <v>310</v>
      </c>
      <c r="J22" s="3" t="s">
        <v>311</v>
      </c>
      <c r="K22" s="3" t="s">
        <v>292</v>
      </c>
      <c r="L22" s="3" t="s">
        <v>810</v>
      </c>
      <c r="M22" s="3" t="s">
        <v>811</v>
      </c>
      <c r="N22" s="3" t="s">
        <v>812</v>
      </c>
      <c r="O22" s="3" t="s">
        <v>813</v>
      </c>
      <c r="P22" s="3" t="s">
        <v>814</v>
      </c>
      <c r="Q22" s="3" t="s">
        <v>815</v>
      </c>
      <c r="R22" s="3" t="s">
        <v>816</v>
      </c>
      <c r="S22" s="3" t="s">
        <v>817</v>
      </c>
    </row>
    <row r="23" spans="1:20">
      <c r="A23" s="11" t="s">
        <v>172</v>
      </c>
      <c r="B23" s="6">
        <f>B$11*'Loads'!$B44*'LAFs'!B229*(1-'Contrib'!B90)/(24*'Input'!$F$58)*100</f>
        <v>0</v>
      </c>
      <c r="C23" s="6">
        <f>C$11*'Loads'!$B44*'LAFs'!C229*(1-'Contrib'!C90)/(24*'Input'!$F$58)*100</f>
        <v>0</v>
      </c>
      <c r="D23" s="6">
        <f>D$11*'Loads'!$B44*'LAFs'!D229*(1-'Contrib'!D90)/(24*'Input'!$F$58)*100</f>
        <v>0</v>
      </c>
      <c r="E23" s="6">
        <f>E$11*'Loads'!$B44*'LAFs'!E229*(1-'Contrib'!E90)/(24*'Input'!$F$58)*100</f>
        <v>0</v>
      </c>
      <c r="F23" s="6">
        <f>F$11*'Loads'!$B44*'LAFs'!F229*(1-'Contrib'!F90)/(24*'Input'!$F$58)*100</f>
        <v>0</v>
      </c>
      <c r="G23" s="6">
        <f>G$11*'Loads'!$B44*'LAFs'!G229*(1-'Contrib'!G90)/(24*'Input'!$F$58)*100</f>
        <v>0</v>
      </c>
      <c r="H23" s="6">
        <f>H$11*'Loads'!$B44*'LAFs'!H229*(1-'Contrib'!H90)/(24*'Input'!$F$58)*100</f>
        <v>0</v>
      </c>
      <c r="I23" s="6">
        <f>I$11*'Loads'!$B44*'LAFs'!I229*(1-'Contrib'!I90)/(24*'Input'!$F$58)*100</f>
        <v>0</v>
      </c>
      <c r="J23" s="6">
        <f>J$11*'Loads'!$B44*'LAFs'!J229*(1-'Contrib'!J90)/(24*'Input'!$F$58)*100</f>
        <v>0</v>
      </c>
      <c r="K23" s="6">
        <f>K$11*'Loads'!$B44*'LAFs'!B229*(1-'Contrib'!K90)/(24*'Input'!$F$58)*100</f>
        <v>0</v>
      </c>
      <c r="L23" s="6">
        <f>L$11*'Loads'!$B44*'LAFs'!C229*(1-'Contrib'!L90)/(24*'Input'!$F$58)*100</f>
        <v>0</v>
      </c>
      <c r="M23" s="6">
        <f>M$11*'Loads'!$B44*'LAFs'!D229*(1-'Contrib'!M90)/(24*'Input'!$F$58)*100</f>
        <v>0</v>
      </c>
      <c r="N23" s="6">
        <f>N$11*'Loads'!$B44*'LAFs'!E229*(1-'Contrib'!N90)/(24*'Input'!$F$58)*100</f>
        <v>0</v>
      </c>
      <c r="O23" s="6">
        <f>O$11*'Loads'!$B44*'LAFs'!F229*(1-'Contrib'!O90)/(24*'Input'!$F$58)*100</f>
        <v>0</v>
      </c>
      <c r="P23" s="6">
        <f>P$11*'Loads'!$B44*'LAFs'!G229*(1-'Contrib'!P90)/(24*'Input'!$F$58)*100</f>
        <v>0</v>
      </c>
      <c r="Q23" s="6">
        <f>Q$11*'Loads'!$B44*'LAFs'!H229*(1-'Contrib'!Q90)/(24*'Input'!$F$58)*100</f>
        <v>0</v>
      </c>
      <c r="R23" s="6">
        <f>R$11*'Loads'!$B44*'LAFs'!I229*(1-'Contrib'!R90)/(24*'Input'!$F$58)*100</f>
        <v>0</v>
      </c>
      <c r="S23" s="6">
        <f>S$11*'Loads'!$B44*'LAFs'!J229*(1-'Contrib'!S90)/(24*'Input'!$F$58)*100</f>
        <v>0</v>
      </c>
      <c r="T23" s="10"/>
    </row>
    <row r="24" spans="1:20">
      <c r="A24" s="11" t="s">
        <v>173</v>
      </c>
      <c r="B24" s="6">
        <f>B$11*'Loads'!$B45*'LAFs'!B230*(1-'Contrib'!B91)/(24*'Input'!$F$58)*100</f>
        <v>0</v>
      </c>
      <c r="C24" s="6">
        <f>C$11*'Loads'!$B45*'LAFs'!C230*(1-'Contrib'!C91)/(24*'Input'!$F$58)*100</f>
        <v>0</v>
      </c>
      <c r="D24" s="6">
        <f>D$11*'Loads'!$B45*'LAFs'!D230*(1-'Contrib'!D91)/(24*'Input'!$F$58)*100</f>
        <v>0</v>
      </c>
      <c r="E24" s="6">
        <f>E$11*'Loads'!$B45*'LAFs'!E230*(1-'Contrib'!E91)/(24*'Input'!$F$58)*100</f>
        <v>0</v>
      </c>
      <c r="F24" s="6">
        <f>F$11*'Loads'!$B45*'LAFs'!F230*(1-'Contrib'!F91)/(24*'Input'!$F$58)*100</f>
        <v>0</v>
      </c>
      <c r="G24" s="6">
        <f>G$11*'Loads'!$B45*'LAFs'!G230*(1-'Contrib'!G91)/(24*'Input'!$F$58)*100</f>
        <v>0</v>
      </c>
      <c r="H24" s="6">
        <f>H$11*'Loads'!$B45*'LAFs'!H230*(1-'Contrib'!H91)/(24*'Input'!$F$58)*100</f>
        <v>0</v>
      </c>
      <c r="I24" s="6">
        <f>I$11*'Loads'!$B45*'LAFs'!I230*(1-'Contrib'!I91)/(24*'Input'!$F$58)*100</f>
        <v>0</v>
      </c>
      <c r="J24" s="6">
        <f>J$11*'Loads'!$B45*'LAFs'!J230*(1-'Contrib'!J91)/(24*'Input'!$F$58)*100</f>
        <v>0</v>
      </c>
      <c r="K24" s="6">
        <f>K$11*'Loads'!$B45*'LAFs'!B230*(1-'Contrib'!K91)/(24*'Input'!$F$58)*100</f>
        <v>0</v>
      </c>
      <c r="L24" s="6">
        <f>L$11*'Loads'!$B45*'LAFs'!C230*(1-'Contrib'!L91)/(24*'Input'!$F$58)*100</f>
        <v>0</v>
      </c>
      <c r="M24" s="6">
        <f>M$11*'Loads'!$B45*'LAFs'!D230*(1-'Contrib'!M91)/(24*'Input'!$F$58)*100</f>
        <v>0</v>
      </c>
      <c r="N24" s="6">
        <f>N$11*'Loads'!$B45*'LAFs'!E230*(1-'Contrib'!N91)/(24*'Input'!$F$58)*100</f>
        <v>0</v>
      </c>
      <c r="O24" s="6">
        <f>O$11*'Loads'!$B45*'LAFs'!F230*(1-'Contrib'!O91)/(24*'Input'!$F$58)*100</f>
        <v>0</v>
      </c>
      <c r="P24" s="6">
        <f>P$11*'Loads'!$B45*'LAFs'!G230*(1-'Contrib'!P91)/(24*'Input'!$F$58)*100</f>
        <v>0</v>
      </c>
      <c r="Q24" s="6">
        <f>Q$11*'Loads'!$B45*'LAFs'!H230*(1-'Contrib'!Q91)/(24*'Input'!$F$58)*100</f>
        <v>0</v>
      </c>
      <c r="R24" s="6">
        <f>R$11*'Loads'!$B45*'LAFs'!I230*(1-'Contrib'!R91)/(24*'Input'!$F$58)*100</f>
        <v>0</v>
      </c>
      <c r="S24" s="6">
        <f>S$11*'Loads'!$B45*'LAFs'!J230*(1-'Contrib'!S91)/(24*'Input'!$F$58)*100</f>
        <v>0</v>
      </c>
      <c r="T24" s="10"/>
    </row>
    <row r="25" spans="1:20">
      <c r="A25" s="11" t="s">
        <v>210</v>
      </c>
      <c r="B25" s="6">
        <f>B$11*'Loads'!$B46*'LAFs'!B231*(1-'Contrib'!B92)/(24*'Input'!$F$58)*100</f>
        <v>0</v>
      </c>
      <c r="C25" s="6">
        <f>C$11*'Loads'!$B46*'LAFs'!C231*(1-'Contrib'!C92)/(24*'Input'!$F$58)*100</f>
        <v>0</v>
      </c>
      <c r="D25" s="6">
        <f>D$11*'Loads'!$B46*'LAFs'!D231*(1-'Contrib'!D92)/(24*'Input'!$F$58)*100</f>
        <v>0</v>
      </c>
      <c r="E25" s="6">
        <f>E$11*'Loads'!$B46*'LAFs'!E231*(1-'Contrib'!E92)/(24*'Input'!$F$58)*100</f>
        <v>0</v>
      </c>
      <c r="F25" s="6">
        <f>F$11*'Loads'!$B46*'LAFs'!F231*(1-'Contrib'!F92)/(24*'Input'!$F$58)*100</f>
        <v>0</v>
      </c>
      <c r="G25" s="6">
        <f>G$11*'Loads'!$B46*'LAFs'!G231*(1-'Contrib'!G92)/(24*'Input'!$F$58)*100</f>
        <v>0</v>
      </c>
      <c r="H25" s="6">
        <f>H$11*'Loads'!$B46*'LAFs'!H231*(1-'Contrib'!H92)/(24*'Input'!$F$58)*100</f>
        <v>0</v>
      </c>
      <c r="I25" s="6">
        <f>I$11*'Loads'!$B46*'LAFs'!I231*(1-'Contrib'!I92)/(24*'Input'!$F$58)*100</f>
        <v>0</v>
      </c>
      <c r="J25" s="6">
        <f>J$11*'Loads'!$B46*'LAFs'!J231*(1-'Contrib'!J92)/(24*'Input'!$F$58)*100</f>
        <v>0</v>
      </c>
      <c r="K25" s="6">
        <f>K$11*'Loads'!$B46*'LAFs'!B231*(1-'Contrib'!K92)/(24*'Input'!$F$58)*100</f>
        <v>0</v>
      </c>
      <c r="L25" s="6">
        <f>L$11*'Loads'!$B46*'LAFs'!C231*(1-'Contrib'!L92)/(24*'Input'!$F$58)*100</f>
        <v>0</v>
      </c>
      <c r="M25" s="6">
        <f>M$11*'Loads'!$B46*'LAFs'!D231*(1-'Contrib'!M92)/(24*'Input'!$F$58)*100</f>
        <v>0</v>
      </c>
      <c r="N25" s="6">
        <f>N$11*'Loads'!$B46*'LAFs'!E231*(1-'Contrib'!N92)/(24*'Input'!$F$58)*100</f>
        <v>0</v>
      </c>
      <c r="O25" s="6">
        <f>O$11*'Loads'!$B46*'LAFs'!F231*(1-'Contrib'!O92)/(24*'Input'!$F$58)*100</f>
        <v>0</v>
      </c>
      <c r="P25" s="6">
        <f>P$11*'Loads'!$B46*'LAFs'!G231*(1-'Contrib'!P92)/(24*'Input'!$F$58)*100</f>
        <v>0</v>
      </c>
      <c r="Q25" s="6">
        <f>Q$11*'Loads'!$B46*'LAFs'!H231*(1-'Contrib'!Q92)/(24*'Input'!$F$58)*100</f>
        <v>0</v>
      </c>
      <c r="R25" s="6">
        <f>R$11*'Loads'!$B46*'LAFs'!I231*(1-'Contrib'!R92)/(24*'Input'!$F$58)*100</f>
        <v>0</v>
      </c>
      <c r="S25" s="6">
        <f>S$11*'Loads'!$B46*'LAFs'!J231*(1-'Contrib'!S92)/(24*'Input'!$F$58)*100</f>
        <v>0</v>
      </c>
      <c r="T25" s="10"/>
    </row>
    <row r="26" spans="1:20">
      <c r="A26" s="11" t="s">
        <v>174</v>
      </c>
      <c r="B26" s="6">
        <f>B$11*'Loads'!$B47*'LAFs'!B232*(1-'Contrib'!B93)/(24*'Input'!$F$58)*100</f>
        <v>0</v>
      </c>
      <c r="C26" s="6">
        <f>C$11*'Loads'!$B47*'LAFs'!C232*(1-'Contrib'!C93)/(24*'Input'!$F$58)*100</f>
        <v>0</v>
      </c>
      <c r="D26" s="6">
        <f>D$11*'Loads'!$B47*'LAFs'!D232*(1-'Contrib'!D93)/(24*'Input'!$F$58)*100</f>
        <v>0</v>
      </c>
      <c r="E26" s="6">
        <f>E$11*'Loads'!$B47*'LAFs'!E232*(1-'Contrib'!E93)/(24*'Input'!$F$58)*100</f>
        <v>0</v>
      </c>
      <c r="F26" s="6">
        <f>F$11*'Loads'!$B47*'LAFs'!F232*(1-'Contrib'!F93)/(24*'Input'!$F$58)*100</f>
        <v>0</v>
      </c>
      <c r="G26" s="6">
        <f>G$11*'Loads'!$B47*'LAFs'!G232*(1-'Contrib'!G93)/(24*'Input'!$F$58)*100</f>
        <v>0</v>
      </c>
      <c r="H26" s="6">
        <f>H$11*'Loads'!$B47*'LAFs'!H232*(1-'Contrib'!H93)/(24*'Input'!$F$58)*100</f>
        <v>0</v>
      </c>
      <c r="I26" s="6">
        <f>I$11*'Loads'!$B47*'LAFs'!I232*(1-'Contrib'!I93)/(24*'Input'!$F$58)*100</f>
        <v>0</v>
      </c>
      <c r="J26" s="6">
        <f>J$11*'Loads'!$B47*'LAFs'!J232*(1-'Contrib'!J93)/(24*'Input'!$F$58)*100</f>
        <v>0</v>
      </c>
      <c r="K26" s="6">
        <f>K$11*'Loads'!$B47*'LAFs'!B232*(1-'Contrib'!K93)/(24*'Input'!$F$58)*100</f>
        <v>0</v>
      </c>
      <c r="L26" s="6">
        <f>L$11*'Loads'!$B47*'LAFs'!C232*(1-'Contrib'!L93)/(24*'Input'!$F$58)*100</f>
        <v>0</v>
      </c>
      <c r="M26" s="6">
        <f>M$11*'Loads'!$B47*'LAFs'!D232*(1-'Contrib'!M93)/(24*'Input'!$F$58)*100</f>
        <v>0</v>
      </c>
      <c r="N26" s="6">
        <f>N$11*'Loads'!$B47*'LAFs'!E232*(1-'Contrib'!N93)/(24*'Input'!$F$58)*100</f>
        <v>0</v>
      </c>
      <c r="O26" s="6">
        <f>O$11*'Loads'!$B47*'LAFs'!F232*(1-'Contrib'!O93)/(24*'Input'!$F$58)*100</f>
        <v>0</v>
      </c>
      <c r="P26" s="6">
        <f>P$11*'Loads'!$B47*'LAFs'!G232*(1-'Contrib'!P93)/(24*'Input'!$F$58)*100</f>
        <v>0</v>
      </c>
      <c r="Q26" s="6">
        <f>Q$11*'Loads'!$B47*'LAFs'!H232*(1-'Contrib'!Q93)/(24*'Input'!$F$58)*100</f>
        <v>0</v>
      </c>
      <c r="R26" s="6">
        <f>R$11*'Loads'!$B47*'LAFs'!I232*(1-'Contrib'!R93)/(24*'Input'!$F$58)*100</f>
        <v>0</v>
      </c>
      <c r="S26" s="6">
        <f>S$11*'Loads'!$B47*'LAFs'!J232*(1-'Contrib'!S93)/(24*'Input'!$F$58)*100</f>
        <v>0</v>
      </c>
      <c r="T26" s="10"/>
    </row>
    <row r="27" spans="1:20">
      <c r="A27" s="11" t="s">
        <v>175</v>
      </c>
      <c r="B27" s="6">
        <f>B$11*'Loads'!$B48*'LAFs'!B233*(1-'Contrib'!B94)/(24*'Input'!$F$58)*100</f>
        <v>0</v>
      </c>
      <c r="C27" s="6">
        <f>C$11*'Loads'!$B48*'LAFs'!C233*(1-'Contrib'!C94)/(24*'Input'!$F$58)*100</f>
        <v>0</v>
      </c>
      <c r="D27" s="6">
        <f>D$11*'Loads'!$B48*'LAFs'!D233*(1-'Contrib'!D94)/(24*'Input'!$F$58)*100</f>
        <v>0</v>
      </c>
      <c r="E27" s="6">
        <f>E$11*'Loads'!$B48*'LAFs'!E233*(1-'Contrib'!E94)/(24*'Input'!$F$58)*100</f>
        <v>0</v>
      </c>
      <c r="F27" s="6">
        <f>F$11*'Loads'!$B48*'LAFs'!F233*(1-'Contrib'!F94)/(24*'Input'!$F$58)*100</f>
        <v>0</v>
      </c>
      <c r="G27" s="6">
        <f>G$11*'Loads'!$B48*'LAFs'!G233*(1-'Contrib'!G94)/(24*'Input'!$F$58)*100</f>
        <v>0</v>
      </c>
      <c r="H27" s="6">
        <f>H$11*'Loads'!$B48*'LAFs'!H233*(1-'Contrib'!H94)/(24*'Input'!$F$58)*100</f>
        <v>0</v>
      </c>
      <c r="I27" s="6">
        <f>I$11*'Loads'!$B48*'LAFs'!I233*(1-'Contrib'!I94)/(24*'Input'!$F$58)*100</f>
        <v>0</v>
      </c>
      <c r="J27" s="6">
        <f>J$11*'Loads'!$B48*'LAFs'!J233*(1-'Contrib'!J94)/(24*'Input'!$F$58)*100</f>
        <v>0</v>
      </c>
      <c r="K27" s="6">
        <f>K$11*'Loads'!$B48*'LAFs'!B233*(1-'Contrib'!K94)/(24*'Input'!$F$58)*100</f>
        <v>0</v>
      </c>
      <c r="L27" s="6">
        <f>L$11*'Loads'!$B48*'LAFs'!C233*(1-'Contrib'!L94)/(24*'Input'!$F$58)*100</f>
        <v>0</v>
      </c>
      <c r="M27" s="6">
        <f>M$11*'Loads'!$B48*'LAFs'!D233*(1-'Contrib'!M94)/(24*'Input'!$F$58)*100</f>
        <v>0</v>
      </c>
      <c r="N27" s="6">
        <f>N$11*'Loads'!$B48*'LAFs'!E233*(1-'Contrib'!N94)/(24*'Input'!$F$58)*100</f>
        <v>0</v>
      </c>
      <c r="O27" s="6">
        <f>O$11*'Loads'!$B48*'LAFs'!F233*(1-'Contrib'!O94)/(24*'Input'!$F$58)*100</f>
        <v>0</v>
      </c>
      <c r="P27" s="6">
        <f>P$11*'Loads'!$B48*'LAFs'!G233*(1-'Contrib'!P94)/(24*'Input'!$F$58)*100</f>
        <v>0</v>
      </c>
      <c r="Q27" s="6">
        <f>Q$11*'Loads'!$B48*'LAFs'!H233*(1-'Contrib'!Q94)/(24*'Input'!$F$58)*100</f>
        <v>0</v>
      </c>
      <c r="R27" s="6">
        <f>R$11*'Loads'!$B48*'LAFs'!I233*(1-'Contrib'!R94)/(24*'Input'!$F$58)*100</f>
        <v>0</v>
      </c>
      <c r="S27" s="6">
        <f>S$11*'Loads'!$B48*'LAFs'!J233*(1-'Contrib'!S94)/(24*'Input'!$F$58)*100</f>
        <v>0</v>
      </c>
      <c r="T27" s="10"/>
    </row>
    <row r="28" spans="1:20">
      <c r="A28" s="11" t="s">
        <v>211</v>
      </c>
      <c r="B28" s="6">
        <f>B$11*'Loads'!$B49*'LAFs'!B234*(1-'Contrib'!B95)/(24*'Input'!$F$58)*100</f>
        <v>0</v>
      </c>
      <c r="C28" s="6">
        <f>C$11*'Loads'!$B49*'LAFs'!C234*(1-'Contrib'!C95)/(24*'Input'!$F$58)*100</f>
        <v>0</v>
      </c>
      <c r="D28" s="6">
        <f>D$11*'Loads'!$B49*'LAFs'!D234*(1-'Contrib'!D95)/(24*'Input'!$F$58)*100</f>
        <v>0</v>
      </c>
      <c r="E28" s="6">
        <f>E$11*'Loads'!$B49*'LAFs'!E234*(1-'Contrib'!E95)/(24*'Input'!$F$58)*100</f>
        <v>0</v>
      </c>
      <c r="F28" s="6">
        <f>F$11*'Loads'!$B49*'LAFs'!F234*(1-'Contrib'!F95)/(24*'Input'!$F$58)*100</f>
        <v>0</v>
      </c>
      <c r="G28" s="6">
        <f>G$11*'Loads'!$B49*'LAFs'!G234*(1-'Contrib'!G95)/(24*'Input'!$F$58)*100</f>
        <v>0</v>
      </c>
      <c r="H28" s="6">
        <f>H$11*'Loads'!$B49*'LAFs'!H234*(1-'Contrib'!H95)/(24*'Input'!$F$58)*100</f>
        <v>0</v>
      </c>
      <c r="I28" s="6">
        <f>I$11*'Loads'!$B49*'LAFs'!I234*(1-'Contrib'!I95)/(24*'Input'!$F$58)*100</f>
        <v>0</v>
      </c>
      <c r="J28" s="6">
        <f>J$11*'Loads'!$B49*'LAFs'!J234*(1-'Contrib'!J95)/(24*'Input'!$F$58)*100</f>
        <v>0</v>
      </c>
      <c r="K28" s="6">
        <f>K$11*'Loads'!$B49*'LAFs'!B234*(1-'Contrib'!K95)/(24*'Input'!$F$58)*100</f>
        <v>0</v>
      </c>
      <c r="L28" s="6">
        <f>L$11*'Loads'!$B49*'LAFs'!C234*(1-'Contrib'!L95)/(24*'Input'!$F$58)*100</f>
        <v>0</v>
      </c>
      <c r="M28" s="6">
        <f>M$11*'Loads'!$B49*'LAFs'!D234*(1-'Contrib'!M95)/(24*'Input'!$F$58)*100</f>
        <v>0</v>
      </c>
      <c r="N28" s="6">
        <f>N$11*'Loads'!$B49*'LAFs'!E234*(1-'Contrib'!N95)/(24*'Input'!$F$58)*100</f>
        <v>0</v>
      </c>
      <c r="O28" s="6">
        <f>O$11*'Loads'!$B49*'LAFs'!F234*(1-'Contrib'!O95)/(24*'Input'!$F$58)*100</f>
        <v>0</v>
      </c>
      <c r="P28" s="6">
        <f>P$11*'Loads'!$B49*'LAFs'!G234*(1-'Contrib'!P95)/(24*'Input'!$F$58)*100</f>
        <v>0</v>
      </c>
      <c r="Q28" s="6">
        <f>Q$11*'Loads'!$B49*'LAFs'!H234*(1-'Contrib'!Q95)/(24*'Input'!$F$58)*100</f>
        <v>0</v>
      </c>
      <c r="R28" s="6">
        <f>R$11*'Loads'!$B49*'LAFs'!I234*(1-'Contrib'!R95)/(24*'Input'!$F$58)*100</f>
        <v>0</v>
      </c>
      <c r="S28" s="6">
        <f>S$11*'Loads'!$B49*'LAFs'!J234*(1-'Contrib'!S95)/(24*'Input'!$F$58)*100</f>
        <v>0</v>
      </c>
      <c r="T28" s="10"/>
    </row>
    <row r="29" spans="1:20">
      <c r="A29" s="11" t="s">
        <v>176</v>
      </c>
      <c r="B29" s="6">
        <f>B$11*'Loads'!$B50*'LAFs'!B235*(1-'Contrib'!B96)/(24*'Input'!$F$58)*100</f>
        <v>0</v>
      </c>
      <c r="C29" s="6">
        <f>C$11*'Loads'!$B50*'LAFs'!C235*(1-'Contrib'!C96)/(24*'Input'!$F$58)*100</f>
        <v>0</v>
      </c>
      <c r="D29" s="6">
        <f>D$11*'Loads'!$B50*'LAFs'!D235*(1-'Contrib'!D96)/(24*'Input'!$F$58)*100</f>
        <v>0</v>
      </c>
      <c r="E29" s="6">
        <f>E$11*'Loads'!$B50*'LAFs'!E235*(1-'Contrib'!E96)/(24*'Input'!$F$58)*100</f>
        <v>0</v>
      </c>
      <c r="F29" s="6">
        <f>F$11*'Loads'!$B50*'LAFs'!F235*(1-'Contrib'!F96)/(24*'Input'!$F$58)*100</f>
        <v>0</v>
      </c>
      <c r="G29" s="6">
        <f>G$11*'Loads'!$B50*'LAFs'!G235*(1-'Contrib'!G96)/(24*'Input'!$F$58)*100</f>
        <v>0</v>
      </c>
      <c r="H29" s="6">
        <f>H$11*'Loads'!$B50*'LAFs'!H235*(1-'Contrib'!H96)/(24*'Input'!$F$58)*100</f>
        <v>0</v>
      </c>
      <c r="I29" s="6">
        <f>I$11*'Loads'!$B50*'LAFs'!I235*(1-'Contrib'!I96)/(24*'Input'!$F$58)*100</f>
        <v>0</v>
      </c>
      <c r="J29" s="6">
        <f>J$11*'Loads'!$B50*'LAFs'!J235*(1-'Contrib'!J96)/(24*'Input'!$F$58)*100</f>
        <v>0</v>
      </c>
      <c r="K29" s="6">
        <f>K$11*'Loads'!$B50*'LAFs'!B235*(1-'Contrib'!K96)/(24*'Input'!$F$58)*100</f>
        <v>0</v>
      </c>
      <c r="L29" s="6">
        <f>L$11*'Loads'!$B50*'LAFs'!C235*(1-'Contrib'!L96)/(24*'Input'!$F$58)*100</f>
        <v>0</v>
      </c>
      <c r="M29" s="6">
        <f>M$11*'Loads'!$B50*'LAFs'!D235*(1-'Contrib'!M96)/(24*'Input'!$F$58)*100</f>
        <v>0</v>
      </c>
      <c r="N29" s="6">
        <f>N$11*'Loads'!$B50*'LAFs'!E235*(1-'Contrib'!N96)/(24*'Input'!$F$58)*100</f>
        <v>0</v>
      </c>
      <c r="O29" s="6">
        <f>O$11*'Loads'!$B50*'LAFs'!F235*(1-'Contrib'!O96)/(24*'Input'!$F$58)*100</f>
        <v>0</v>
      </c>
      <c r="P29" s="6">
        <f>P$11*'Loads'!$B50*'LAFs'!G235*(1-'Contrib'!P96)/(24*'Input'!$F$58)*100</f>
        <v>0</v>
      </c>
      <c r="Q29" s="6">
        <f>Q$11*'Loads'!$B50*'LAFs'!H235*(1-'Contrib'!Q96)/(24*'Input'!$F$58)*100</f>
        <v>0</v>
      </c>
      <c r="R29" s="6">
        <f>R$11*'Loads'!$B50*'LAFs'!I235*(1-'Contrib'!R96)/(24*'Input'!$F$58)*100</f>
        <v>0</v>
      </c>
      <c r="S29" s="6">
        <f>S$11*'Loads'!$B50*'LAFs'!J235*(1-'Contrib'!S96)/(24*'Input'!$F$58)*100</f>
        <v>0</v>
      </c>
      <c r="T29" s="10"/>
    </row>
    <row r="30" spans="1:20">
      <c r="A30" s="11" t="s">
        <v>177</v>
      </c>
      <c r="B30" s="6">
        <f>B$11*'Loads'!$B51*'LAFs'!B236*(1-'Contrib'!B97)/(24*'Input'!$F$58)*100</f>
        <v>0</v>
      </c>
      <c r="C30" s="6">
        <f>C$11*'Loads'!$B51*'LAFs'!C236*(1-'Contrib'!C97)/(24*'Input'!$F$58)*100</f>
        <v>0</v>
      </c>
      <c r="D30" s="6">
        <f>D$11*'Loads'!$B51*'LAFs'!D236*(1-'Contrib'!D97)/(24*'Input'!$F$58)*100</f>
        <v>0</v>
      </c>
      <c r="E30" s="6">
        <f>E$11*'Loads'!$B51*'LAFs'!E236*(1-'Contrib'!E97)/(24*'Input'!$F$58)*100</f>
        <v>0</v>
      </c>
      <c r="F30" s="6">
        <f>F$11*'Loads'!$B51*'LAFs'!F236*(1-'Contrib'!F97)/(24*'Input'!$F$58)*100</f>
        <v>0</v>
      </c>
      <c r="G30" s="6">
        <f>G$11*'Loads'!$B51*'LAFs'!G236*(1-'Contrib'!G97)/(24*'Input'!$F$58)*100</f>
        <v>0</v>
      </c>
      <c r="H30" s="6">
        <f>H$11*'Loads'!$B51*'LAFs'!H236*(1-'Contrib'!H97)/(24*'Input'!$F$58)*100</f>
        <v>0</v>
      </c>
      <c r="I30" s="6">
        <f>I$11*'Loads'!$B51*'LAFs'!I236*(1-'Contrib'!I97)/(24*'Input'!$F$58)*100</f>
        <v>0</v>
      </c>
      <c r="J30" s="6">
        <f>J$11*'Loads'!$B51*'LAFs'!J236*(1-'Contrib'!J97)/(24*'Input'!$F$58)*100</f>
        <v>0</v>
      </c>
      <c r="K30" s="6">
        <f>K$11*'Loads'!$B51*'LAFs'!B236*(1-'Contrib'!K97)/(24*'Input'!$F$58)*100</f>
        <v>0</v>
      </c>
      <c r="L30" s="6">
        <f>L$11*'Loads'!$B51*'LAFs'!C236*(1-'Contrib'!L97)/(24*'Input'!$F$58)*100</f>
        <v>0</v>
      </c>
      <c r="M30" s="6">
        <f>M$11*'Loads'!$B51*'LAFs'!D236*(1-'Contrib'!M97)/(24*'Input'!$F$58)*100</f>
        <v>0</v>
      </c>
      <c r="N30" s="6">
        <f>N$11*'Loads'!$B51*'LAFs'!E236*(1-'Contrib'!N97)/(24*'Input'!$F$58)*100</f>
        <v>0</v>
      </c>
      <c r="O30" s="6">
        <f>O$11*'Loads'!$B51*'LAFs'!F236*(1-'Contrib'!O97)/(24*'Input'!$F$58)*100</f>
        <v>0</v>
      </c>
      <c r="P30" s="6">
        <f>P$11*'Loads'!$B51*'LAFs'!G236*(1-'Contrib'!P97)/(24*'Input'!$F$58)*100</f>
        <v>0</v>
      </c>
      <c r="Q30" s="6">
        <f>Q$11*'Loads'!$B51*'LAFs'!H236*(1-'Contrib'!Q97)/(24*'Input'!$F$58)*100</f>
        <v>0</v>
      </c>
      <c r="R30" s="6">
        <f>R$11*'Loads'!$B51*'LAFs'!I236*(1-'Contrib'!R97)/(24*'Input'!$F$58)*100</f>
        <v>0</v>
      </c>
      <c r="S30" s="6">
        <f>S$11*'Loads'!$B51*'LAFs'!J236*(1-'Contrib'!S97)/(24*'Input'!$F$58)*100</f>
        <v>0</v>
      </c>
      <c r="T30" s="10"/>
    </row>
    <row r="31" spans="1:20">
      <c r="A31" s="11" t="s">
        <v>191</v>
      </c>
      <c r="B31" s="6">
        <f>B$11*'Loads'!$B52*'LAFs'!B237*(1-'Contrib'!B98)/(24*'Input'!$F$58)*100</f>
        <v>0</v>
      </c>
      <c r="C31" s="6">
        <f>C$11*'Loads'!$B52*'LAFs'!C237*(1-'Contrib'!C98)/(24*'Input'!$F$58)*100</f>
        <v>0</v>
      </c>
      <c r="D31" s="6">
        <f>D$11*'Loads'!$B52*'LAFs'!D237*(1-'Contrib'!D98)/(24*'Input'!$F$58)*100</f>
        <v>0</v>
      </c>
      <c r="E31" s="6">
        <f>E$11*'Loads'!$B52*'LAFs'!E237*(1-'Contrib'!E98)/(24*'Input'!$F$58)*100</f>
        <v>0</v>
      </c>
      <c r="F31" s="6">
        <f>F$11*'Loads'!$B52*'LAFs'!F237*(1-'Contrib'!F98)/(24*'Input'!$F$58)*100</f>
        <v>0</v>
      </c>
      <c r="G31" s="6">
        <f>G$11*'Loads'!$B52*'LAFs'!G237*(1-'Contrib'!G98)/(24*'Input'!$F$58)*100</f>
        <v>0</v>
      </c>
      <c r="H31" s="6">
        <f>H$11*'Loads'!$B52*'LAFs'!H237*(1-'Contrib'!H98)/(24*'Input'!$F$58)*100</f>
        <v>0</v>
      </c>
      <c r="I31" s="6">
        <f>I$11*'Loads'!$B52*'LAFs'!I237*(1-'Contrib'!I98)/(24*'Input'!$F$58)*100</f>
        <v>0</v>
      </c>
      <c r="J31" s="6">
        <f>J$11*'Loads'!$B52*'LAFs'!J237*(1-'Contrib'!J98)/(24*'Input'!$F$58)*100</f>
        <v>0</v>
      </c>
      <c r="K31" s="6">
        <f>K$11*'Loads'!$B52*'LAFs'!B237*(1-'Contrib'!K98)/(24*'Input'!$F$58)*100</f>
        <v>0</v>
      </c>
      <c r="L31" s="6">
        <f>L$11*'Loads'!$B52*'LAFs'!C237*(1-'Contrib'!L98)/(24*'Input'!$F$58)*100</f>
        <v>0</v>
      </c>
      <c r="M31" s="6">
        <f>M$11*'Loads'!$B52*'LAFs'!D237*(1-'Contrib'!M98)/(24*'Input'!$F$58)*100</f>
        <v>0</v>
      </c>
      <c r="N31" s="6">
        <f>N$11*'Loads'!$B52*'LAFs'!E237*(1-'Contrib'!N98)/(24*'Input'!$F$58)*100</f>
        <v>0</v>
      </c>
      <c r="O31" s="6">
        <f>O$11*'Loads'!$B52*'LAFs'!F237*(1-'Contrib'!O98)/(24*'Input'!$F$58)*100</f>
        <v>0</v>
      </c>
      <c r="P31" s="6">
        <f>P$11*'Loads'!$B52*'LAFs'!G237*(1-'Contrib'!P98)/(24*'Input'!$F$58)*100</f>
        <v>0</v>
      </c>
      <c r="Q31" s="6">
        <f>Q$11*'Loads'!$B52*'LAFs'!H237*(1-'Contrib'!Q98)/(24*'Input'!$F$58)*100</f>
        <v>0</v>
      </c>
      <c r="R31" s="6">
        <f>R$11*'Loads'!$B52*'LAFs'!I237*(1-'Contrib'!R98)/(24*'Input'!$F$58)*100</f>
        <v>0</v>
      </c>
      <c r="S31" s="6">
        <f>S$11*'Loads'!$B52*'LAFs'!J237*(1-'Contrib'!S98)/(24*'Input'!$F$58)*100</f>
        <v>0</v>
      </c>
      <c r="T31" s="10"/>
    </row>
    <row r="32" spans="1:20">
      <c r="A32" s="11" t="s">
        <v>178</v>
      </c>
      <c r="B32" s="6">
        <f>B$11*'Loads'!$B53*'LAFs'!B238*(1-'Contrib'!B99)/(24*'Input'!$F$58)*100</f>
        <v>0</v>
      </c>
      <c r="C32" s="6">
        <f>C$11*'Loads'!$B53*'LAFs'!C238*(1-'Contrib'!C99)/(24*'Input'!$F$58)*100</f>
        <v>0</v>
      </c>
      <c r="D32" s="6">
        <f>D$11*'Loads'!$B53*'LAFs'!D238*(1-'Contrib'!D99)/(24*'Input'!$F$58)*100</f>
        <v>0</v>
      </c>
      <c r="E32" s="6">
        <f>E$11*'Loads'!$B53*'LAFs'!E238*(1-'Contrib'!E99)/(24*'Input'!$F$58)*100</f>
        <v>0</v>
      </c>
      <c r="F32" s="6">
        <f>F$11*'Loads'!$B53*'LAFs'!F238*(1-'Contrib'!F99)/(24*'Input'!$F$58)*100</f>
        <v>0</v>
      </c>
      <c r="G32" s="6">
        <f>G$11*'Loads'!$B53*'LAFs'!G238*(1-'Contrib'!G99)/(24*'Input'!$F$58)*100</f>
        <v>0</v>
      </c>
      <c r="H32" s="6">
        <f>H$11*'Loads'!$B53*'LAFs'!H238*(1-'Contrib'!H99)/(24*'Input'!$F$58)*100</f>
        <v>0</v>
      </c>
      <c r="I32" s="6">
        <f>I$11*'Loads'!$B53*'LAFs'!I238*(1-'Contrib'!I99)/(24*'Input'!$F$58)*100</f>
        <v>0</v>
      </c>
      <c r="J32" s="6">
        <f>J$11*'Loads'!$B53*'LAFs'!J238*(1-'Contrib'!J99)/(24*'Input'!$F$58)*100</f>
        <v>0</v>
      </c>
      <c r="K32" s="6">
        <f>K$11*'Loads'!$B53*'LAFs'!B238*(1-'Contrib'!K99)/(24*'Input'!$F$58)*100</f>
        <v>0</v>
      </c>
      <c r="L32" s="6">
        <f>L$11*'Loads'!$B53*'LAFs'!C238*(1-'Contrib'!L99)/(24*'Input'!$F$58)*100</f>
        <v>0</v>
      </c>
      <c r="M32" s="6">
        <f>M$11*'Loads'!$B53*'LAFs'!D238*(1-'Contrib'!M99)/(24*'Input'!$F$58)*100</f>
        <v>0</v>
      </c>
      <c r="N32" s="6">
        <f>N$11*'Loads'!$B53*'LAFs'!E238*(1-'Contrib'!N99)/(24*'Input'!$F$58)*100</f>
        <v>0</v>
      </c>
      <c r="O32" s="6">
        <f>O$11*'Loads'!$B53*'LAFs'!F238*(1-'Contrib'!O99)/(24*'Input'!$F$58)*100</f>
        <v>0</v>
      </c>
      <c r="P32" s="6">
        <f>P$11*'Loads'!$B53*'LAFs'!G238*(1-'Contrib'!P99)/(24*'Input'!$F$58)*100</f>
        <v>0</v>
      </c>
      <c r="Q32" s="6">
        <f>Q$11*'Loads'!$B53*'LAFs'!H238*(1-'Contrib'!Q99)/(24*'Input'!$F$58)*100</f>
        <v>0</v>
      </c>
      <c r="R32" s="6">
        <f>R$11*'Loads'!$B53*'LAFs'!I238*(1-'Contrib'!R99)/(24*'Input'!$F$58)*100</f>
        <v>0</v>
      </c>
      <c r="S32" s="6">
        <f>S$11*'Loads'!$B53*'LAFs'!J238*(1-'Contrib'!S99)/(24*'Input'!$F$58)*100</f>
        <v>0</v>
      </c>
      <c r="T32" s="10"/>
    </row>
    <row r="33" spans="1:20">
      <c r="A33" s="11" t="s">
        <v>179</v>
      </c>
      <c r="B33" s="6">
        <f>B$11*'Loads'!$B54*'LAFs'!B239*(1-'Contrib'!B100)/(24*'Input'!$F$58)*100</f>
        <v>0</v>
      </c>
      <c r="C33" s="6">
        <f>C$11*'Loads'!$B54*'LAFs'!C239*(1-'Contrib'!C100)/(24*'Input'!$F$58)*100</f>
        <v>0</v>
      </c>
      <c r="D33" s="6">
        <f>D$11*'Loads'!$B54*'LAFs'!D239*(1-'Contrib'!D100)/(24*'Input'!$F$58)*100</f>
        <v>0</v>
      </c>
      <c r="E33" s="6">
        <f>E$11*'Loads'!$B54*'LAFs'!E239*(1-'Contrib'!E100)/(24*'Input'!$F$58)*100</f>
        <v>0</v>
      </c>
      <c r="F33" s="6">
        <f>F$11*'Loads'!$B54*'LAFs'!F239*(1-'Contrib'!F100)/(24*'Input'!$F$58)*100</f>
        <v>0</v>
      </c>
      <c r="G33" s="6">
        <f>G$11*'Loads'!$B54*'LAFs'!G239*(1-'Contrib'!G100)/(24*'Input'!$F$58)*100</f>
        <v>0</v>
      </c>
      <c r="H33" s="6">
        <f>H$11*'Loads'!$B54*'LAFs'!H239*(1-'Contrib'!H100)/(24*'Input'!$F$58)*100</f>
        <v>0</v>
      </c>
      <c r="I33" s="6">
        <f>I$11*'Loads'!$B54*'LAFs'!I239*(1-'Contrib'!I100)/(24*'Input'!$F$58)*100</f>
        <v>0</v>
      </c>
      <c r="J33" s="6">
        <f>J$11*'Loads'!$B54*'LAFs'!J239*(1-'Contrib'!J100)/(24*'Input'!$F$58)*100</f>
        <v>0</v>
      </c>
      <c r="K33" s="6">
        <f>K$11*'Loads'!$B54*'LAFs'!B239*(1-'Contrib'!K100)/(24*'Input'!$F$58)*100</f>
        <v>0</v>
      </c>
      <c r="L33" s="6">
        <f>L$11*'Loads'!$B54*'LAFs'!C239*(1-'Contrib'!L100)/(24*'Input'!$F$58)*100</f>
        <v>0</v>
      </c>
      <c r="M33" s="6">
        <f>M$11*'Loads'!$B54*'LAFs'!D239*(1-'Contrib'!M100)/(24*'Input'!$F$58)*100</f>
        <v>0</v>
      </c>
      <c r="N33" s="6">
        <f>N$11*'Loads'!$B54*'LAFs'!E239*(1-'Contrib'!N100)/(24*'Input'!$F$58)*100</f>
        <v>0</v>
      </c>
      <c r="O33" s="6">
        <f>O$11*'Loads'!$B54*'LAFs'!F239*(1-'Contrib'!O100)/(24*'Input'!$F$58)*100</f>
        <v>0</v>
      </c>
      <c r="P33" s="6">
        <f>P$11*'Loads'!$B54*'LAFs'!G239*(1-'Contrib'!P100)/(24*'Input'!$F$58)*100</f>
        <v>0</v>
      </c>
      <c r="Q33" s="6">
        <f>Q$11*'Loads'!$B54*'LAFs'!H239*(1-'Contrib'!Q100)/(24*'Input'!$F$58)*100</f>
        <v>0</v>
      </c>
      <c r="R33" s="6">
        <f>R$11*'Loads'!$B54*'LAFs'!I239*(1-'Contrib'!R100)/(24*'Input'!$F$58)*100</f>
        <v>0</v>
      </c>
      <c r="S33" s="6">
        <f>S$11*'Loads'!$B54*'LAFs'!J239*(1-'Contrib'!S100)/(24*'Input'!$F$58)*100</f>
        <v>0</v>
      </c>
      <c r="T33" s="10"/>
    </row>
    <row r="34" spans="1:20">
      <c r="A34" s="11" t="s">
        <v>192</v>
      </c>
      <c r="B34" s="6">
        <f>B$11*'Loads'!$B55*'LAFs'!B240*(1-'Contrib'!B101)/(24*'Input'!$F$58)*100</f>
        <v>0</v>
      </c>
      <c r="C34" s="6">
        <f>C$11*'Loads'!$B55*'LAFs'!C240*(1-'Contrib'!C101)/(24*'Input'!$F$58)*100</f>
        <v>0</v>
      </c>
      <c r="D34" s="6">
        <f>D$11*'Loads'!$B55*'LAFs'!D240*(1-'Contrib'!D101)/(24*'Input'!$F$58)*100</f>
        <v>0</v>
      </c>
      <c r="E34" s="6">
        <f>E$11*'Loads'!$B55*'LAFs'!E240*(1-'Contrib'!E101)/(24*'Input'!$F$58)*100</f>
        <v>0</v>
      </c>
      <c r="F34" s="6">
        <f>F$11*'Loads'!$B55*'LAFs'!F240*(1-'Contrib'!F101)/(24*'Input'!$F$58)*100</f>
        <v>0</v>
      </c>
      <c r="G34" s="6">
        <f>G$11*'Loads'!$B55*'LAFs'!G240*(1-'Contrib'!G101)/(24*'Input'!$F$58)*100</f>
        <v>0</v>
      </c>
      <c r="H34" s="6">
        <f>H$11*'Loads'!$B55*'LAFs'!H240*(1-'Contrib'!H101)/(24*'Input'!$F$58)*100</f>
        <v>0</v>
      </c>
      <c r="I34" s="6">
        <f>I$11*'Loads'!$B55*'LAFs'!I240*(1-'Contrib'!I101)/(24*'Input'!$F$58)*100</f>
        <v>0</v>
      </c>
      <c r="J34" s="6">
        <f>J$11*'Loads'!$B55*'LAFs'!J240*(1-'Contrib'!J101)/(24*'Input'!$F$58)*100</f>
        <v>0</v>
      </c>
      <c r="K34" s="6">
        <f>K$11*'Loads'!$B55*'LAFs'!B240*(1-'Contrib'!K101)/(24*'Input'!$F$58)*100</f>
        <v>0</v>
      </c>
      <c r="L34" s="6">
        <f>L$11*'Loads'!$B55*'LAFs'!C240*(1-'Contrib'!L101)/(24*'Input'!$F$58)*100</f>
        <v>0</v>
      </c>
      <c r="M34" s="6">
        <f>M$11*'Loads'!$B55*'LAFs'!D240*(1-'Contrib'!M101)/(24*'Input'!$F$58)*100</f>
        <v>0</v>
      </c>
      <c r="N34" s="6">
        <f>N$11*'Loads'!$B55*'LAFs'!E240*(1-'Contrib'!N101)/(24*'Input'!$F$58)*100</f>
        <v>0</v>
      </c>
      <c r="O34" s="6">
        <f>O$11*'Loads'!$B55*'LAFs'!F240*(1-'Contrib'!O101)/(24*'Input'!$F$58)*100</f>
        <v>0</v>
      </c>
      <c r="P34" s="6">
        <f>P$11*'Loads'!$B55*'LAFs'!G240*(1-'Contrib'!P101)/(24*'Input'!$F$58)*100</f>
        <v>0</v>
      </c>
      <c r="Q34" s="6">
        <f>Q$11*'Loads'!$B55*'LAFs'!H240*(1-'Contrib'!Q101)/(24*'Input'!$F$58)*100</f>
        <v>0</v>
      </c>
      <c r="R34" s="6">
        <f>R$11*'Loads'!$B55*'LAFs'!I240*(1-'Contrib'!R101)/(24*'Input'!$F$58)*100</f>
        <v>0</v>
      </c>
      <c r="S34" s="6">
        <f>S$11*'Loads'!$B55*'LAFs'!J240*(1-'Contrib'!S101)/(24*'Input'!$F$58)*100</f>
        <v>0</v>
      </c>
      <c r="T34" s="10"/>
    </row>
    <row r="35" spans="1:20">
      <c r="A35" s="11" t="s">
        <v>212</v>
      </c>
      <c r="B35" s="6">
        <f>B$11*'Loads'!$B56*'LAFs'!B241*(1-'Contrib'!B102)/(24*'Input'!$F$58)*100</f>
        <v>0</v>
      </c>
      <c r="C35" s="6">
        <f>C$11*'Loads'!$B56*'LAFs'!C241*(1-'Contrib'!C102)/(24*'Input'!$F$58)*100</f>
        <v>0</v>
      </c>
      <c r="D35" s="6">
        <f>D$11*'Loads'!$B56*'LAFs'!D241*(1-'Contrib'!D102)/(24*'Input'!$F$58)*100</f>
        <v>0</v>
      </c>
      <c r="E35" s="6">
        <f>E$11*'Loads'!$B56*'LAFs'!E241*(1-'Contrib'!E102)/(24*'Input'!$F$58)*100</f>
        <v>0</v>
      </c>
      <c r="F35" s="6">
        <f>F$11*'Loads'!$B56*'LAFs'!F241*(1-'Contrib'!F102)/(24*'Input'!$F$58)*100</f>
        <v>0</v>
      </c>
      <c r="G35" s="6">
        <f>G$11*'Loads'!$B56*'LAFs'!G241*(1-'Contrib'!G102)/(24*'Input'!$F$58)*100</f>
        <v>0</v>
      </c>
      <c r="H35" s="6">
        <f>H$11*'Loads'!$B56*'LAFs'!H241*(1-'Contrib'!H102)/(24*'Input'!$F$58)*100</f>
        <v>0</v>
      </c>
      <c r="I35" s="6">
        <f>I$11*'Loads'!$B56*'LAFs'!I241*(1-'Contrib'!I102)/(24*'Input'!$F$58)*100</f>
        <v>0</v>
      </c>
      <c r="J35" s="6">
        <f>J$11*'Loads'!$B56*'LAFs'!J241*(1-'Contrib'!J102)/(24*'Input'!$F$58)*100</f>
        <v>0</v>
      </c>
      <c r="K35" s="6">
        <f>K$11*'Loads'!$B56*'LAFs'!B241*(1-'Contrib'!K102)/(24*'Input'!$F$58)*100</f>
        <v>0</v>
      </c>
      <c r="L35" s="6">
        <f>L$11*'Loads'!$B56*'LAFs'!C241*(1-'Contrib'!L102)/(24*'Input'!$F$58)*100</f>
        <v>0</v>
      </c>
      <c r="M35" s="6">
        <f>M$11*'Loads'!$B56*'LAFs'!D241*(1-'Contrib'!M102)/(24*'Input'!$F$58)*100</f>
        <v>0</v>
      </c>
      <c r="N35" s="6">
        <f>N$11*'Loads'!$B56*'LAFs'!E241*(1-'Contrib'!N102)/(24*'Input'!$F$58)*100</f>
        <v>0</v>
      </c>
      <c r="O35" s="6">
        <f>O$11*'Loads'!$B56*'LAFs'!F241*(1-'Contrib'!O102)/(24*'Input'!$F$58)*100</f>
        <v>0</v>
      </c>
      <c r="P35" s="6">
        <f>P$11*'Loads'!$B56*'LAFs'!G241*(1-'Contrib'!P102)/(24*'Input'!$F$58)*100</f>
        <v>0</v>
      </c>
      <c r="Q35" s="6">
        <f>Q$11*'Loads'!$B56*'LAFs'!H241*(1-'Contrib'!Q102)/(24*'Input'!$F$58)*100</f>
        <v>0</v>
      </c>
      <c r="R35" s="6">
        <f>R$11*'Loads'!$B56*'LAFs'!I241*(1-'Contrib'!R102)/(24*'Input'!$F$58)*100</f>
        <v>0</v>
      </c>
      <c r="S35" s="6">
        <f>S$11*'Loads'!$B56*'LAFs'!J241*(1-'Contrib'!S102)/(24*'Input'!$F$58)*100</f>
        <v>0</v>
      </c>
      <c r="T35" s="10"/>
    </row>
    <row r="36" spans="1:20">
      <c r="A36" s="11" t="s">
        <v>213</v>
      </c>
      <c r="B36" s="6">
        <f>B$11*'Loads'!$B57*'LAFs'!B242*(1-'Contrib'!B103)/(24*'Input'!$F$58)*100</f>
        <v>0</v>
      </c>
      <c r="C36" s="6">
        <f>C$11*'Loads'!$B57*'LAFs'!C242*(1-'Contrib'!C103)/(24*'Input'!$F$58)*100</f>
        <v>0</v>
      </c>
      <c r="D36" s="6">
        <f>D$11*'Loads'!$B57*'LAFs'!D242*(1-'Contrib'!D103)/(24*'Input'!$F$58)*100</f>
        <v>0</v>
      </c>
      <c r="E36" s="6">
        <f>E$11*'Loads'!$B57*'LAFs'!E242*(1-'Contrib'!E103)/(24*'Input'!$F$58)*100</f>
        <v>0</v>
      </c>
      <c r="F36" s="6">
        <f>F$11*'Loads'!$B57*'LAFs'!F242*(1-'Contrib'!F103)/(24*'Input'!$F$58)*100</f>
        <v>0</v>
      </c>
      <c r="G36" s="6">
        <f>G$11*'Loads'!$B57*'LAFs'!G242*(1-'Contrib'!G103)/(24*'Input'!$F$58)*100</f>
        <v>0</v>
      </c>
      <c r="H36" s="6">
        <f>H$11*'Loads'!$B57*'LAFs'!H242*(1-'Contrib'!H103)/(24*'Input'!$F$58)*100</f>
        <v>0</v>
      </c>
      <c r="I36" s="6">
        <f>I$11*'Loads'!$B57*'LAFs'!I242*(1-'Contrib'!I103)/(24*'Input'!$F$58)*100</f>
        <v>0</v>
      </c>
      <c r="J36" s="6">
        <f>J$11*'Loads'!$B57*'LAFs'!J242*(1-'Contrib'!J103)/(24*'Input'!$F$58)*100</f>
        <v>0</v>
      </c>
      <c r="K36" s="6">
        <f>K$11*'Loads'!$B57*'LAFs'!B242*(1-'Contrib'!K103)/(24*'Input'!$F$58)*100</f>
        <v>0</v>
      </c>
      <c r="L36" s="6">
        <f>L$11*'Loads'!$B57*'LAFs'!C242*(1-'Contrib'!L103)/(24*'Input'!$F$58)*100</f>
        <v>0</v>
      </c>
      <c r="M36" s="6">
        <f>M$11*'Loads'!$B57*'LAFs'!D242*(1-'Contrib'!M103)/(24*'Input'!$F$58)*100</f>
        <v>0</v>
      </c>
      <c r="N36" s="6">
        <f>N$11*'Loads'!$B57*'LAFs'!E242*(1-'Contrib'!N103)/(24*'Input'!$F$58)*100</f>
        <v>0</v>
      </c>
      <c r="O36" s="6">
        <f>O$11*'Loads'!$B57*'LAFs'!F242*(1-'Contrib'!O103)/(24*'Input'!$F$58)*100</f>
        <v>0</v>
      </c>
      <c r="P36" s="6">
        <f>P$11*'Loads'!$B57*'LAFs'!G242*(1-'Contrib'!P103)/(24*'Input'!$F$58)*100</f>
        <v>0</v>
      </c>
      <c r="Q36" s="6">
        <f>Q$11*'Loads'!$B57*'LAFs'!H242*(1-'Contrib'!Q103)/(24*'Input'!$F$58)*100</f>
        <v>0</v>
      </c>
      <c r="R36" s="6">
        <f>R$11*'Loads'!$B57*'LAFs'!I242*(1-'Contrib'!R103)/(24*'Input'!$F$58)*100</f>
        <v>0</v>
      </c>
      <c r="S36" s="6">
        <f>S$11*'Loads'!$B57*'LAFs'!J242*(1-'Contrib'!S103)/(24*'Input'!$F$58)*100</f>
        <v>0</v>
      </c>
      <c r="T36" s="10"/>
    </row>
    <row r="37" spans="1:20">
      <c r="A37" s="11" t="s">
        <v>214</v>
      </c>
      <c r="B37" s="6">
        <f>B$11*'Loads'!$B58*'LAFs'!B243*(1-'Contrib'!B104)/(24*'Input'!$F$58)*100</f>
        <v>0</v>
      </c>
      <c r="C37" s="6">
        <f>C$11*'Loads'!$B58*'LAFs'!C243*(1-'Contrib'!C104)/(24*'Input'!$F$58)*100</f>
        <v>0</v>
      </c>
      <c r="D37" s="6">
        <f>D$11*'Loads'!$B58*'LAFs'!D243*(1-'Contrib'!D104)/(24*'Input'!$F$58)*100</f>
        <v>0</v>
      </c>
      <c r="E37" s="6">
        <f>E$11*'Loads'!$B58*'LAFs'!E243*(1-'Contrib'!E104)/(24*'Input'!$F$58)*100</f>
        <v>0</v>
      </c>
      <c r="F37" s="6">
        <f>F$11*'Loads'!$B58*'LAFs'!F243*(1-'Contrib'!F104)/(24*'Input'!$F$58)*100</f>
        <v>0</v>
      </c>
      <c r="G37" s="6">
        <f>G$11*'Loads'!$B58*'LAFs'!G243*(1-'Contrib'!G104)/(24*'Input'!$F$58)*100</f>
        <v>0</v>
      </c>
      <c r="H37" s="6">
        <f>H$11*'Loads'!$B58*'LAFs'!H243*(1-'Contrib'!H104)/(24*'Input'!$F$58)*100</f>
        <v>0</v>
      </c>
      <c r="I37" s="6">
        <f>I$11*'Loads'!$B58*'LAFs'!I243*(1-'Contrib'!I104)/(24*'Input'!$F$58)*100</f>
        <v>0</v>
      </c>
      <c r="J37" s="6">
        <f>J$11*'Loads'!$B58*'LAFs'!J243*(1-'Contrib'!J104)/(24*'Input'!$F$58)*100</f>
        <v>0</v>
      </c>
      <c r="K37" s="6">
        <f>K$11*'Loads'!$B58*'LAFs'!B243*(1-'Contrib'!K104)/(24*'Input'!$F$58)*100</f>
        <v>0</v>
      </c>
      <c r="L37" s="6">
        <f>L$11*'Loads'!$B58*'LAFs'!C243*(1-'Contrib'!L104)/(24*'Input'!$F$58)*100</f>
        <v>0</v>
      </c>
      <c r="M37" s="6">
        <f>M$11*'Loads'!$B58*'LAFs'!D243*(1-'Contrib'!M104)/(24*'Input'!$F$58)*100</f>
        <v>0</v>
      </c>
      <c r="N37" s="6">
        <f>N$11*'Loads'!$B58*'LAFs'!E243*(1-'Contrib'!N104)/(24*'Input'!$F$58)*100</f>
        <v>0</v>
      </c>
      <c r="O37" s="6">
        <f>O$11*'Loads'!$B58*'LAFs'!F243*(1-'Contrib'!O104)/(24*'Input'!$F$58)*100</f>
        <v>0</v>
      </c>
      <c r="P37" s="6">
        <f>P$11*'Loads'!$B58*'LAFs'!G243*(1-'Contrib'!P104)/(24*'Input'!$F$58)*100</f>
        <v>0</v>
      </c>
      <c r="Q37" s="6">
        <f>Q$11*'Loads'!$B58*'LAFs'!H243*(1-'Contrib'!Q104)/(24*'Input'!$F$58)*100</f>
        <v>0</v>
      </c>
      <c r="R37" s="6">
        <f>R$11*'Loads'!$B58*'LAFs'!I243*(1-'Contrib'!R104)/(24*'Input'!$F$58)*100</f>
        <v>0</v>
      </c>
      <c r="S37" s="6">
        <f>S$11*'Loads'!$B58*'LAFs'!J243*(1-'Contrib'!S104)/(24*'Input'!$F$58)*100</f>
        <v>0</v>
      </c>
      <c r="T37" s="10"/>
    </row>
    <row r="38" spans="1:20">
      <c r="A38" s="11" t="s">
        <v>215</v>
      </c>
      <c r="B38" s="6">
        <f>B$11*'Loads'!$B59*'LAFs'!B244*(1-'Contrib'!B105)/(24*'Input'!$F$58)*100</f>
        <v>0</v>
      </c>
      <c r="C38" s="6">
        <f>C$11*'Loads'!$B59*'LAFs'!C244*(1-'Contrib'!C105)/(24*'Input'!$F$58)*100</f>
        <v>0</v>
      </c>
      <c r="D38" s="6">
        <f>D$11*'Loads'!$B59*'LAFs'!D244*(1-'Contrib'!D105)/(24*'Input'!$F$58)*100</f>
        <v>0</v>
      </c>
      <c r="E38" s="6">
        <f>E$11*'Loads'!$B59*'LAFs'!E244*(1-'Contrib'!E105)/(24*'Input'!$F$58)*100</f>
        <v>0</v>
      </c>
      <c r="F38" s="6">
        <f>F$11*'Loads'!$B59*'LAFs'!F244*(1-'Contrib'!F105)/(24*'Input'!$F$58)*100</f>
        <v>0</v>
      </c>
      <c r="G38" s="6">
        <f>G$11*'Loads'!$B59*'LAFs'!G244*(1-'Contrib'!G105)/(24*'Input'!$F$58)*100</f>
        <v>0</v>
      </c>
      <c r="H38" s="6">
        <f>H$11*'Loads'!$B59*'LAFs'!H244*(1-'Contrib'!H105)/(24*'Input'!$F$58)*100</f>
        <v>0</v>
      </c>
      <c r="I38" s="6">
        <f>I$11*'Loads'!$B59*'LAFs'!I244*(1-'Contrib'!I105)/(24*'Input'!$F$58)*100</f>
        <v>0</v>
      </c>
      <c r="J38" s="6">
        <f>J$11*'Loads'!$B59*'LAFs'!J244*(1-'Contrib'!J105)/(24*'Input'!$F$58)*100</f>
        <v>0</v>
      </c>
      <c r="K38" s="6">
        <f>K$11*'Loads'!$B59*'LAFs'!B244*(1-'Contrib'!K105)/(24*'Input'!$F$58)*100</f>
        <v>0</v>
      </c>
      <c r="L38" s="6">
        <f>L$11*'Loads'!$B59*'LAFs'!C244*(1-'Contrib'!L105)/(24*'Input'!$F$58)*100</f>
        <v>0</v>
      </c>
      <c r="M38" s="6">
        <f>M$11*'Loads'!$B59*'LAFs'!D244*(1-'Contrib'!M105)/(24*'Input'!$F$58)*100</f>
        <v>0</v>
      </c>
      <c r="N38" s="6">
        <f>N$11*'Loads'!$B59*'LAFs'!E244*(1-'Contrib'!N105)/(24*'Input'!$F$58)*100</f>
        <v>0</v>
      </c>
      <c r="O38" s="6">
        <f>O$11*'Loads'!$B59*'LAFs'!F244*(1-'Contrib'!O105)/(24*'Input'!$F$58)*100</f>
        <v>0</v>
      </c>
      <c r="P38" s="6">
        <f>P$11*'Loads'!$B59*'LAFs'!G244*(1-'Contrib'!P105)/(24*'Input'!$F$58)*100</f>
        <v>0</v>
      </c>
      <c r="Q38" s="6">
        <f>Q$11*'Loads'!$B59*'LAFs'!H244*(1-'Contrib'!Q105)/(24*'Input'!$F$58)*100</f>
        <v>0</v>
      </c>
      <c r="R38" s="6">
        <f>R$11*'Loads'!$B59*'LAFs'!I244*(1-'Contrib'!R105)/(24*'Input'!$F$58)*100</f>
        <v>0</v>
      </c>
      <c r="S38" s="6">
        <f>S$11*'Loads'!$B59*'LAFs'!J244*(1-'Contrib'!S105)/(24*'Input'!$F$58)*100</f>
        <v>0</v>
      </c>
      <c r="T38" s="10"/>
    </row>
    <row r="39" spans="1:20">
      <c r="A39" s="11" t="s">
        <v>216</v>
      </c>
      <c r="B39" s="6">
        <f>B$11*'Loads'!$B60*'LAFs'!B245*(1-'Contrib'!B106)/(24*'Input'!$F$58)*100</f>
        <v>0</v>
      </c>
      <c r="C39" s="6">
        <f>C$11*'Loads'!$B60*'LAFs'!C245*(1-'Contrib'!C106)/(24*'Input'!$F$58)*100</f>
        <v>0</v>
      </c>
      <c r="D39" s="6">
        <f>D$11*'Loads'!$B60*'LAFs'!D245*(1-'Contrib'!D106)/(24*'Input'!$F$58)*100</f>
        <v>0</v>
      </c>
      <c r="E39" s="6">
        <f>E$11*'Loads'!$B60*'LAFs'!E245*(1-'Contrib'!E106)/(24*'Input'!$F$58)*100</f>
        <v>0</v>
      </c>
      <c r="F39" s="6">
        <f>F$11*'Loads'!$B60*'LAFs'!F245*(1-'Contrib'!F106)/(24*'Input'!$F$58)*100</f>
        <v>0</v>
      </c>
      <c r="G39" s="6">
        <f>G$11*'Loads'!$B60*'LAFs'!G245*(1-'Contrib'!G106)/(24*'Input'!$F$58)*100</f>
        <v>0</v>
      </c>
      <c r="H39" s="6">
        <f>H$11*'Loads'!$B60*'LAFs'!H245*(1-'Contrib'!H106)/(24*'Input'!$F$58)*100</f>
        <v>0</v>
      </c>
      <c r="I39" s="6">
        <f>I$11*'Loads'!$B60*'LAFs'!I245*(1-'Contrib'!I106)/(24*'Input'!$F$58)*100</f>
        <v>0</v>
      </c>
      <c r="J39" s="6">
        <f>J$11*'Loads'!$B60*'LAFs'!J245*(1-'Contrib'!J106)/(24*'Input'!$F$58)*100</f>
        <v>0</v>
      </c>
      <c r="K39" s="6">
        <f>K$11*'Loads'!$B60*'LAFs'!B245*(1-'Contrib'!K106)/(24*'Input'!$F$58)*100</f>
        <v>0</v>
      </c>
      <c r="L39" s="6">
        <f>L$11*'Loads'!$B60*'LAFs'!C245*(1-'Contrib'!L106)/(24*'Input'!$F$58)*100</f>
        <v>0</v>
      </c>
      <c r="M39" s="6">
        <f>M$11*'Loads'!$B60*'LAFs'!D245*(1-'Contrib'!M106)/(24*'Input'!$F$58)*100</f>
        <v>0</v>
      </c>
      <c r="N39" s="6">
        <f>N$11*'Loads'!$B60*'LAFs'!E245*(1-'Contrib'!N106)/(24*'Input'!$F$58)*100</f>
        <v>0</v>
      </c>
      <c r="O39" s="6">
        <f>O$11*'Loads'!$B60*'LAFs'!F245*(1-'Contrib'!O106)/(24*'Input'!$F$58)*100</f>
        <v>0</v>
      </c>
      <c r="P39" s="6">
        <f>P$11*'Loads'!$B60*'LAFs'!G245*(1-'Contrib'!P106)/(24*'Input'!$F$58)*100</f>
        <v>0</v>
      </c>
      <c r="Q39" s="6">
        <f>Q$11*'Loads'!$B60*'LAFs'!H245*(1-'Contrib'!Q106)/(24*'Input'!$F$58)*100</f>
        <v>0</v>
      </c>
      <c r="R39" s="6">
        <f>R$11*'Loads'!$B60*'LAFs'!I245*(1-'Contrib'!R106)/(24*'Input'!$F$58)*100</f>
        <v>0</v>
      </c>
      <c r="S39" s="6">
        <f>S$11*'Loads'!$B60*'LAFs'!J245*(1-'Contrib'!S106)/(24*'Input'!$F$58)*100</f>
        <v>0</v>
      </c>
      <c r="T39" s="10"/>
    </row>
    <row r="40" spans="1:20">
      <c r="A40" s="11" t="s">
        <v>180</v>
      </c>
      <c r="B40" s="6">
        <f>B$11*'Loads'!$B61*'LAFs'!B246*(1-'Contrib'!B107)/(24*'Input'!$F$58)*100</f>
        <v>0</v>
      </c>
      <c r="C40" s="6">
        <f>C$11*'Loads'!$B61*'LAFs'!C246*(1-'Contrib'!C107)/(24*'Input'!$F$58)*100</f>
        <v>0</v>
      </c>
      <c r="D40" s="6">
        <f>D$11*'Loads'!$B61*'LAFs'!D246*(1-'Contrib'!D107)/(24*'Input'!$F$58)*100</f>
        <v>0</v>
      </c>
      <c r="E40" s="6">
        <f>E$11*'Loads'!$B61*'LAFs'!E246*(1-'Contrib'!E107)/(24*'Input'!$F$58)*100</f>
        <v>0</v>
      </c>
      <c r="F40" s="6">
        <f>F$11*'Loads'!$B61*'LAFs'!F246*(1-'Contrib'!F107)/(24*'Input'!$F$58)*100</f>
        <v>0</v>
      </c>
      <c r="G40" s="6">
        <f>G$11*'Loads'!$B61*'LAFs'!G246*(1-'Contrib'!G107)/(24*'Input'!$F$58)*100</f>
        <v>0</v>
      </c>
      <c r="H40" s="6">
        <f>H$11*'Loads'!$B61*'LAFs'!H246*(1-'Contrib'!H107)/(24*'Input'!$F$58)*100</f>
        <v>0</v>
      </c>
      <c r="I40" s="6">
        <f>I$11*'Loads'!$B61*'LAFs'!I246*(1-'Contrib'!I107)/(24*'Input'!$F$58)*100</f>
        <v>0</v>
      </c>
      <c r="J40" s="6">
        <f>J$11*'Loads'!$B61*'LAFs'!J246*(1-'Contrib'!J107)/(24*'Input'!$F$58)*100</f>
        <v>0</v>
      </c>
      <c r="K40" s="6">
        <f>K$11*'Loads'!$B61*'LAFs'!B246*(1-'Contrib'!K107)/(24*'Input'!$F$58)*100</f>
        <v>0</v>
      </c>
      <c r="L40" s="6">
        <f>L$11*'Loads'!$B61*'LAFs'!C246*(1-'Contrib'!L107)/(24*'Input'!$F$58)*100</f>
        <v>0</v>
      </c>
      <c r="M40" s="6">
        <f>M$11*'Loads'!$B61*'LAFs'!D246*(1-'Contrib'!M107)/(24*'Input'!$F$58)*100</f>
        <v>0</v>
      </c>
      <c r="N40" s="6">
        <f>N$11*'Loads'!$B61*'LAFs'!E246*(1-'Contrib'!N107)/(24*'Input'!$F$58)*100</f>
        <v>0</v>
      </c>
      <c r="O40" s="6">
        <f>O$11*'Loads'!$B61*'LAFs'!F246*(1-'Contrib'!O107)/(24*'Input'!$F$58)*100</f>
        <v>0</v>
      </c>
      <c r="P40" s="6">
        <f>P$11*'Loads'!$B61*'LAFs'!G246*(1-'Contrib'!P107)/(24*'Input'!$F$58)*100</f>
        <v>0</v>
      </c>
      <c r="Q40" s="6">
        <f>Q$11*'Loads'!$B61*'LAFs'!H246*(1-'Contrib'!Q107)/(24*'Input'!$F$58)*100</f>
        <v>0</v>
      </c>
      <c r="R40" s="6">
        <f>R$11*'Loads'!$B61*'LAFs'!I246*(1-'Contrib'!R107)/(24*'Input'!$F$58)*100</f>
        <v>0</v>
      </c>
      <c r="S40" s="6">
        <f>S$11*'Loads'!$B61*'LAFs'!J246*(1-'Contrib'!S107)/(24*'Input'!$F$58)*100</f>
        <v>0</v>
      </c>
      <c r="T40" s="10"/>
    </row>
    <row r="41" spans="1:20">
      <c r="A41" s="11" t="s">
        <v>181</v>
      </c>
      <c r="B41" s="6">
        <f>B$11*'Loads'!$B62*'LAFs'!B247*(1-'Contrib'!B108)/(24*'Input'!$F$58)*100</f>
        <v>0</v>
      </c>
      <c r="C41" s="6">
        <f>C$11*'Loads'!$B62*'LAFs'!C247*(1-'Contrib'!C108)/(24*'Input'!$F$58)*100</f>
        <v>0</v>
      </c>
      <c r="D41" s="6">
        <f>D$11*'Loads'!$B62*'LAFs'!D247*(1-'Contrib'!D108)/(24*'Input'!$F$58)*100</f>
        <v>0</v>
      </c>
      <c r="E41" s="6">
        <f>E$11*'Loads'!$B62*'LAFs'!E247*(1-'Contrib'!E108)/(24*'Input'!$F$58)*100</f>
        <v>0</v>
      </c>
      <c r="F41" s="6">
        <f>F$11*'Loads'!$B62*'LAFs'!F247*(1-'Contrib'!F108)/(24*'Input'!$F$58)*100</f>
        <v>0</v>
      </c>
      <c r="G41" s="6">
        <f>G$11*'Loads'!$B62*'LAFs'!G247*(1-'Contrib'!G108)/(24*'Input'!$F$58)*100</f>
        <v>0</v>
      </c>
      <c r="H41" s="6">
        <f>H$11*'Loads'!$B62*'LAFs'!H247*(1-'Contrib'!H108)/(24*'Input'!$F$58)*100</f>
        <v>0</v>
      </c>
      <c r="I41" s="6">
        <f>I$11*'Loads'!$B62*'LAFs'!I247*(1-'Contrib'!I108)/(24*'Input'!$F$58)*100</f>
        <v>0</v>
      </c>
      <c r="J41" s="6">
        <f>J$11*'Loads'!$B62*'LAFs'!J247*(1-'Contrib'!J108)/(24*'Input'!$F$58)*100</f>
        <v>0</v>
      </c>
      <c r="K41" s="6">
        <f>K$11*'Loads'!$B62*'LAFs'!B247*(1-'Contrib'!K108)/(24*'Input'!$F$58)*100</f>
        <v>0</v>
      </c>
      <c r="L41" s="6">
        <f>L$11*'Loads'!$B62*'LAFs'!C247*(1-'Contrib'!L108)/(24*'Input'!$F$58)*100</f>
        <v>0</v>
      </c>
      <c r="M41" s="6">
        <f>M$11*'Loads'!$B62*'LAFs'!D247*(1-'Contrib'!M108)/(24*'Input'!$F$58)*100</f>
        <v>0</v>
      </c>
      <c r="N41" s="6">
        <f>N$11*'Loads'!$B62*'LAFs'!E247*(1-'Contrib'!N108)/(24*'Input'!$F$58)*100</f>
        <v>0</v>
      </c>
      <c r="O41" s="6">
        <f>O$11*'Loads'!$B62*'LAFs'!F247*(1-'Contrib'!O108)/(24*'Input'!$F$58)*100</f>
        <v>0</v>
      </c>
      <c r="P41" s="6">
        <f>P$11*'Loads'!$B62*'LAFs'!G247*(1-'Contrib'!P108)/(24*'Input'!$F$58)*100</f>
        <v>0</v>
      </c>
      <c r="Q41" s="6">
        <f>Q$11*'Loads'!$B62*'LAFs'!H247*(1-'Contrib'!Q108)/(24*'Input'!$F$58)*100</f>
        <v>0</v>
      </c>
      <c r="R41" s="6">
        <f>R$11*'Loads'!$B62*'LAFs'!I247*(1-'Contrib'!R108)/(24*'Input'!$F$58)*100</f>
        <v>0</v>
      </c>
      <c r="S41" s="6">
        <f>S$11*'Loads'!$B62*'LAFs'!J247*(1-'Contrib'!S108)/(24*'Input'!$F$58)*100</f>
        <v>0</v>
      </c>
      <c r="T41" s="10"/>
    </row>
    <row r="42" spans="1:20">
      <c r="A42" s="11" t="s">
        <v>182</v>
      </c>
      <c r="B42" s="6">
        <f>B$11*'Loads'!$B63*'LAFs'!B248*(1-'Contrib'!B109)/(24*'Input'!$F$58)*100</f>
        <v>0</v>
      </c>
      <c r="C42" s="6">
        <f>C$11*'Loads'!$B63*'LAFs'!C248*(1-'Contrib'!C109)/(24*'Input'!$F$58)*100</f>
        <v>0</v>
      </c>
      <c r="D42" s="6">
        <f>D$11*'Loads'!$B63*'LAFs'!D248*(1-'Contrib'!D109)/(24*'Input'!$F$58)*100</f>
        <v>0</v>
      </c>
      <c r="E42" s="6">
        <f>E$11*'Loads'!$B63*'LAFs'!E248*(1-'Contrib'!E109)/(24*'Input'!$F$58)*100</f>
        <v>0</v>
      </c>
      <c r="F42" s="6">
        <f>F$11*'Loads'!$B63*'LAFs'!F248*(1-'Contrib'!F109)/(24*'Input'!$F$58)*100</f>
        <v>0</v>
      </c>
      <c r="G42" s="6">
        <f>G$11*'Loads'!$B63*'LAFs'!G248*(1-'Contrib'!G109)/(24*'Input'!$F$58)*100</f>
        <v>0</v>
      </c>
      <c r="H42" s="6">
        <f>H$11*'Loads'!$B63*'LAFs'!H248*(1-'Contrib'!H109)/(24*'Input'!$F$58)*100</f>
        <v>0</v>
      </c>
      <c r="I42" s="6">
        <f>I$11*'Loads'!$B63*'LAFs'!I248*(1-'Contrib'!I109)/(24*'Input'!$F$58)*100</f>
        <v>0</v>
      </c>
      <c r="J42" s="6">
        <f>J$11*'Loads'!$B63*'LAFs'!J248*(1-'Contrib'!J109)/(24*'Input'!$F$58)*100</f>
        <v>0</v>
      </c>
      <c r="K42" s="6">
        <f>K$11*'Loads'!$B63*'LAFs'!B248*(1-'Contrib'!K109)/(24*'Input'!$F$58)*100</f>
        <v>0</v>
      </c>
      <c r="L42" s="6">
        <f>L$11*'Loads'!$B63*'LAFs'!C248*(1-'Contrib'!L109)/(24*'Input'!$F$58)*100</f>
        <v>0</v>
      </c>
      <c r="M42" s="6">
        <f>M$11*'Loads'!$B63*'LAFs'!D248*(1-'Contrib'!M109)/(24*'Input'!$F$58)*100</f>
        <v>0</v>
      </c>
      <c r="N42" s="6">
        <f>N$11*'Loads'!$B63*'LAFs'!E248*(1-'Contrib'!N109)/(24*'Input'!$F$58)*100</f>
        <v>0</v>
      </c>
      <c r="O42" s="6">
        <f>O$11*'Loads'!$B63*'LAFs'!F248*(1-'Contrib'!O109)/(24*'Input'!$F$58)*100</f>
        <v>0</v>
      </c>
      <c r="P42" s="6">
        <f>P$11*'Loads'!$B63*'LAFs'!G248*(1-'Contrib'!P109)/(24*'Input'!$F$58)*100</f>
        <v>0</v>
      </c>
      <c r="Q42" s="6">
        <f>Q$11*'Loads'!$B63*'LAFs'!H248*(1-'Contrib'!Q109)/(24*'Input'!$F$58)*100</f>
        <v>0</v>
      </c>
      <c r="R42" s="6">
        <f>R$11*'Loads'!$B63*'LAFs'!I248*(1-'Contrib'!R109)/(24*'Input'!$F$58)*100</f>
        <v>0</v>
      </c>
      <c r="S42" s="6">
        <f>S$11*'Loads'!$B63*'LAFs'!J248*(1-'Contrib'!S109)/(24*'Input'!$F$58)*100</f>
        <v>0</v>
      </c>
      <c r="T42" s="10"/>
    </row>
    <row r="43" spans="1:20">
      <c r="A43" s="11" t="s">
        <v>183</v>
      </c>
      <c r="B43" s="6">
        <f>B$11*'Loads'!$B64*'LAFs'!B249*(1-'Contrib'!B110)/(24*'Input'!$F$58)*100</f>
        <v>0</v>
      </c>
      <c r="C43" s="6">
        <f>C$11*'Loads'!$B64*'LAFs'!C249*(1-'Contrib'!C110)/(24*'Input'!$F$58)*100</f>
        <v>0</v>
      </c>
      <c r="D43" s="6">
        <f>D$11*'Loads'!$B64*'LAFs'!D249*(1-'Contrib'!D110)/(24*'Input'!$F$58)*100</f>
        <v>0</v>
      </c>
      <c r="E43" s="6">
        <f>E$11*'Loads'!$B64*'LAFs'!E249*(1-'Contrib'!E110)/(24*'Input'!$F$58)*100</f>
        <v>0</v>
      </c>
      <c r="F43" s="6">
        <f>F$11*'Loads'!$B64*'LAFs'!F249*(1-'Contrib'!F110)/(24*'Input'!$F$58)*100</f>
        <v>0</v>
      </c>
      <c r="G43" s="6">
        <f>G$11*'Loads'!$B64*'LAFs'!G249*(1-'Contrib'!G110)/(24*'Input'!$F$58)*100</f>
        <v>0</v>
      </c>
      <c r="H43" s="6">
        <f>H$11*'Loads'!$B64*'LAFs'!H249*(1-'Contrib'!H110)/(24*'Input'!$F$58)*100</f>
        <v>0</v>
      </c>
      <c r="I43" s="6">
        <f>I$11*'Loads'!$B64*'LAFs'!I249*(1-'Contrib'!I110)/(24*'Input'!$F$58)*100</f>
        <v>0</v>
      </c>
      <c r="J43" s="6">
        <f>J$11*'Loads'!$B64*'LAFs'!J249*(1-'Contrib'!J110)/(24*'Input'!$F$58)*100</f>
        <v>0</v>
      </c>
      <c r="K43" s="6">
        <f>K$11*'Loads'!$B64*'LAFs'!B249*(1-'Contrib'!K110)/(24*'Input'!$F$58)*100</f>
        <v>0</v>
      </c>
      <c r="L43" s="6">
        <f>L$11*'Loads'!$B64*'LAFs'!C249*(1-'Contrib'!L110)/(24*'Input'!$F$58)*100</f>
        <v>0</v>
      </c>
      <c r="M43" s="6">
        <f>M$11*'Loads'!$B64*'LAFs'!D249*(1-'Contrib'!M110)/(24*'Input'!$F$58)*100</f>
        <v>0</v>
      </c>
      <c r="N43" s="6">
        <f>N$11*'Loads'!$B64*'LAFs'!E249*(1-'Contrib'!N110)/(24*'Input'!$F$58)*100</f>
        <v>0</v>
      </c>
      <c r="O43" s="6">
        <f>O$11*'Loads'!$B64*'LAFs'!F249*(1-'Contrib'!O110)/(24*'Input'!$F$58)*100</f>
        <v>0</v>
      </c>
      <c r="P43" s="6">
        <f>P$11*'Loads'!$B64*'LAFs'!G249*(1-'Contrib'!P110)/(24*'Input'!$F$58)*100</f>
        <v>0</v>
      </c>
      <c r="Q43" s="6">
        <f>Q$11*'Loads'!$B64*'LAFs'!H249*(1-'Contrib'!Q110)/(24*'Input'!$F$58)*100</f>
        <v>0</v>
      </c>
      <c r="R43" s="6">
        <f>R$11*'Loads'!$B64*'LAFs'!I249*(1-'Contrib'!R110)/(24*'Input'!$F$58)*100</f>
        <v>0</v>
      </c>
      <c r="S43" s="6">
        <f>S$11*'Loads'!$B64*'LAFs'!J249*(1-'Contrib'!S110)/(24*'Input'!$F$58)*100</f>
        <v>0</v>
      </c>
      <c r="T43" s="10"/>
    </row>
    <row r="44" spans="1:20">
      <c r="A44" s="11" t="s">
        <v>184</v>
      </c>
      <c r="B44" s="6">
        <f>B$11*'Loads'!$B65*'LAFs'!B250*(1-'Contrib'!B111)/(24*'Input'!$F$58)*100</f>
        <v>0</v>
      </c>
      <c r="C44" s="6">
        <f>C$11*'Loads'!$B65*'LAFs'!C250*(1-'Contrib'!C111)/(24*'Input'!$F$58)*100</f>
        <v>0</v>
      </c>
      <c r="D44" s="6">
        <f>D$11*'Loads'!$B65*'LAFs'!D250*(1-'Contrib'!D111)/(24*'Input'!$F$58)*100</f>
        <v>0</v>
      </c>
      <c r="E44" s="6">
        <f>E$11*'Loads'!$B65*'LAFs'!E250*(1-'Contrib'!E111)/(24*'Input'!$F$58)*100</f>
        <v>0</v>
      </c>
      <c r="F44" s="6">
        <f>F$11*'Loads'!$B65*'LAFs'!F250*(1-'Contrib'!F111)/(24*'Input'!$F$58)*100</f>
        <v>0</v>
      </c>
      <c r="G44" s="6">
        <f>G$11*'Loads'!$B65*'LAFs'!G250*(1-'Contrib'!G111)/(24*'Input'!$F$58)*100</f>
        <v>0</v>
      </c>
      <c r="H44" s="6">
        <f>H$11*'Loads'!$B65*'LAFs'!H250*(1-'Contrib'!H111)/(24*'Input'!$F$58)*100</f>
        <v>0</v>
      </c>
      <c r="I44" s="6">
        <f>I$11*'Loads'!$B65*'LAFs'!I250*(1-'Contrib'!I111)/(24*'Input'!$F$58)*100</f>
        <v>0</v>
      </c>
      <c r="J44" s="6">
        <f>J$11*'Loads'!$B65*'LAFs'!J250*(1-'Contrib'!J111)/(24*'Input'!$F$58)*100</f>
        <v>0</v>
      </c>
      <c r="K44" s="6">
        <f>K$11*'Loads'!$B65*'LAFs'!B250*(1-'Contrib'!K111)/(24*'Input'!$F$58)*100</f>
        <v>0</v>
      </c>
      <c r="L44" s="6">
        <f>L$11*'Loads'!$B65*'LAFs'!C250*(1-'Contrib'!L111)/(24*'Input'!$F$58)*100</f>
        <v>0</v>
      </c>
      <c r="M44" s="6">
        <f>M$11*'Loads'!$B65*'LAFs'!D250*(1-'Contrib'!M111)/(24*'Input'!$F$58)*100</f>
        <v>0</v>
      </c>
      <c r="N44" s="6">
        <f>N$11*'Loads'!$B65*'LAFs'!E250*(1-'Contrib'!N111)/(24*'Input'!$F$58)*100</f>
        <v>0</v>
      </c>
      <c r="O44" s="6">
        <f>O$11*'Loads'!$B65*'LAFs'!F250*(1-'Contrib'!O111)/(24*'Input'!$F$58)*100</f>
        <v>0</v>
      </c>
      <c r="P44" s="6">
        <f>P$11*'Loads'!$B65*'LAFs'!G250*(1-'Contrib'!P111)/(24*'Input'!$F$58)*100</f>
        <v>0</v>
      </c>
      <c r="Q44" s="6">
        <f>Q$11*'Loads'!$B65*'LAFs'!H250*(1-'Contrib'!Q111)/(24*'Input'!$F$58)*100</f>
        <v>0</v>
      </c>
      <c r="R44" s="6">
        <f>R$11*'Loads'!$B65*'LAFs'!I250*(1-'Contrib'!R111)/(24*'Input'!$F$58)*100</f>
        <v>0</v>
      </c>
      <c r="S44" s="6">
        <f>S$11*'Loads'!$B65*'LAFs'!J250*(1-'Contrib'!S111)/(24*'Input'!$F$58)*100</f>
        <v>0</v>
      </c>
      <c r="T44" s="10"/>
    </row>
    <row r="45" spans="1:20">
      <c r="A45" s="11" t="s">
        <v>185</v>
      </c>
      <c r="B45" s="6">
        <f>B$11*'Loads'!$B66*'LAFs'!B251*(1-'Contrib'!B112)/(24*'Input'!$F$58)*100</f>
        <v>0</v>
      </c>
      <c r="C45" s="6">
        <f>C$11*'Loads'!$B66*'LAFs'!C251*(1-'Contrib'!C112)/(24*'Input'!$F$58)*100</f>
        <v>0</v>
      </c>
      <c r="D45" s="6">
        <f>D$11*'Loads'!$B66*'LAFs'!D251*(1-'Contrib'!D112)/(24*'Input'!$F$58)*100</f>
        <v>0</v>
      </c>
      <c r="E45" s="6">
        <f>E$11*'Loads'!$B66*'LAFs'!E251*(1-'Contrib'!E112)/(24*'Input'!$F$58)*100</f>
        <v>0</v>
      </c>
      <c r="F45" s="6">
        <f>F$11*'Loads'!$B66*'LAFs'!F251*(1-'Contrib'!F112)/(24*'Input'!$F$58)*100</f>
        <v>0</v>
      </c>
      <c r="G45" s="6">
        <f>G$11*'Loads'!$B66*'LAFs'!G251*(1-'Contrib'!G112)/(24*'Input'!$F$58)*100</f>
        <v>0</v>
      </c>
      <c r="H45" s="6">
        <f>H$11*'Loads'!$B66*'LAFs'!H251*(1-'Contrib'!H112)/(24*'Input'!$F$58)*100</f>
        <v>0</v>
      </c>
      <c r="I45" s="6">
        <f>I$11*'Loads'!$B66*'LAFs'!I251*(1-'Contrib'!I112)/(24*'Input'!$F$58)*100</f>
        <v>0</v>
      </c>
      <c r="J45" s="6">
        <f>J$11*'Loads'!$B66*'LAFs'!J251*(1-'Contrib'!J112)/(24*'Input'!$F$58)*100</f>
        <v>0</v>
      </c>
      <c r="K45" s="6">
        <f>K$11*'Loads'!$B66*'LAFs'!B251*(1-'Contrib'!K112)/(24*'Input'!$F$58)*100</f>
        <v>0</v>
      </c>
      <c r="L45" s="6">
        <f>L$11*'Loads'!$B66*'LAFs'!C251*(1-'Contrib'!L112)/(24*'Input'!$F$58)*100</f>
        <v>0</v>
      </c>
      <c r="M45" s="6">
        <f>M$11*'Loads'!$B66*'LAFs'!D251*(1-'Contrib'!M112)/(24*'Input'!$F$58)*100</f>
        <v>0</v>
      </c>
      <c r="N45" s="6">
        <f>N$11*'Loads'!$B66*'LAFs'!E251*(1-'Contrib'!N112)/(24*'Input'!$F$58)*100</f>
        <v>0</v>
      </c>
      <c r="O45" s="6">
        <f>O$11*'Loads'!$B66*'LAFs'!F251*(1-'Contrib'!O112)/(24*'Input'!$F$58)*100</f>
        <v>0</v>
      </c>
      <c r="P45" s="6">
        <f>P$11*'Loads'!$B66*'LAFs'!G251*(1-'Contrib'!P112)/(24*'Input'!$F$58)*100</f>
        <v>0</v>
      </c>
      <c r="Q45" s="6">
        <f>Q$11*'Loads'!$B66*'LAFs'!H251*(1-'Contrib'!Q112)/(24*'Input'!$F$58)*100</f>
        <v>0</v>
      </c>
      <c r="R45" s="6">
        <f>R$11*'Loads'!$B66*'LAFs'!I251*(1-'Contrib'!R112)/(24*'Input'!$F$58)*100</f>
        <v>0</v>
      </c>
      <c r="S45" s="6">
        <f>S$11*'Loads'!$B66*'LAFs'!J251*(1-'Contrib'!S112)/(24*'Input'!$F$58)*100</f>
        <v>0</v>
      </c>
      <c r="T45" s="10"/>
    </row>
    <row r="46" spans="1:20">
      <c r="A46" s="11" t="s">
        <v>193</v>
      </c>
      <c r="B46" s="6">
        <f>B$11*'Loads'!$B67*'LAFs'!B252*(1-'Contrib'!B113)/(24*'Input'!$F$58)*100</f>
        <v>0</v>
      </c>
      <c r="C46" s="6">
        <f>C$11*'Loads'!$B67*'LAFs'!C252*(1-'Contrib'!C113)/(24*'Input'!$F$58)*100</f>
        <v>0</v>
      </c>
      <c r="D46" s="6">
        <f>D$11*'Loads'!$B67*'LAFs'!D252*(1-'Contrib'!D113)/(24*'Input'!$F$58)*100</f>
        <v>0</v>
      </c>
      <c r="E46" s="6">
        <f>E$11*'Loads'!$B67*'LAFs'!E252*(1-'Contrib'!E113)/(24*'Input'!$F$58)*100</f>
        <v>0</v>
      </c>
      <c r="F46" s="6">
        <f>F$11*'Loads'!$B67*'LAFs'!F252*(1-'Contrib'!F113)/(24*'Input'!$F$58)*100</f>
        <v>0</v>
      </c>
      <c r="G46" s="6">
        <f>G$11*'Loads'!$B67*'LAFs'!G252*(1-'Contrib'!G113)/(24*'Input'!$F$58)*100</f>
        <v>0</v>
      </c>
      <c r="H46" s="6">
        <f>H$11*'Loads'!$B67*'LAFs'!H252*(1-'Contrib'!H113)/(24*'Input'!$F$58)*100</f>
        <v>0</v>
      </c>
      <c r="I46" s="6">
        <f>I$11*'Loads'!$B67*'LAFs'!I252*(1-'Contrib'!I113)/(24*'Input'!$F$58)*100</f>
        <v>0</v>
      </c>
      <c r="J46" s="6">
        <f>J$11*'Loads'!$B67*'LAFs'!J252*(1-'Contrib'!J113)/(24*'Input'!$F$58)*100</f>
        <v>0</v>
      </c>
      <c r="K46" s="6">
        <f>K$11*'Loads'!$B67*'LAFs'!B252*(1-'Contrib'!K113)/(24*'Input'!$F$58)*100</f>
        <v>0</v>
      </c>
      <c r="L46" s="6">
        <f>L$11*'Loads'!$B67*'LAFs'!C252*(1-'Contrib'!L113)/(24*'Input'!$F$58)*100</f>
        <v>0</v>
      </c>
      <c r="M46" s="6">
        <f>M$11*'Loads'!$B67*'LAFs'!D252*(1-'Contrib'!M113)/(24*'Input'!$F$58)*100</f>
        <v>0</v>
      </c>
      <c r="N46" s="6">
        <f>N$11*'Loads'!$B67*'LAFs'!E252*(1-'Contrib'!N113)/(24*'Input'!$F$58)*100</f>
        <v>0</v>
      </c>
      <c r="O46" s="6">
        <f>O$11*'Loads'!$B67*'LAFs'!F252*(1-'Contrib'!O113)/(24*'Input'!$F$58)*100</f>
        <v>0</v>
      </c>
      <c r="P46" s="6">
        <f>P$11*'Loads'!$B67*'LAFs'!G252*(1-'Contrib'!P113)/(24*'Input'!$F$58)*100</f>
        <v>0</v>
      </c>
      <c r="Q46" s="6">
        <f>Q$11*'Loads'!$B67*'LAFs'!H252*(1-'Contrib'!Q113)/(24*'Input'!$F$58)*100</f>
        <v>0</v>
      </c>
      <c r="R46" s="6">
        <f>R$11*'Loads'!$B67*'LAFs'!I252*(1-'Contrib'!R113)/(24*'Input'!$F$58)*100</f>
        <v>0</v>
      </c>
      <c r="S46" s="6">
        <f>S$11*'Loads'!$B67*'LAFs'!J252*(1-'Contrib'!S113)/(24*'Input'!$F$58)*100</f>
        <v>0</v>
      </c>
      <c r="T46" s="10"/>
    </row>
    <row r="47" spans="1:20">
      <c r="A47" s="11" t="s">
        <v>194</v>
      </c>
      <c r="B47" s="6">
        <f>B$11*'Loads'!$B68*'LAFs'!B253*(1-'Contrib'!B114)/(24*'Input'!$F$58)*100</f>
        <v>0</v>
      </c>
      <c r="C47" s="6">
        <f>C$11*'Loads'!$B68*'LAFs'!C253*(1-'Contrib'!C114)/(24*'Input'!$F$58)*100</f>
        <v>0</v>
      </c>
      <c r="D47" s="6">
        <f>D$11*'Loads'!$B68*'LAFs'!D253*(1-'Contrib'!D114)/(24*'Input'!$F$58)*100</f>
        <v>0</v>
      </c>
      <c r="E47" s="6">
        <f>E$11*'Loads'!$B68*'LAFs'!E253*(1-'Contrib'!E114)/(24*'Input'!$F$58)*100</f>
        <v>0</v>
      </c>
      <c r="F47" s="6">
        <f>F$11*'Loads'!$B68*'LAFs'!F253*(1-'Contrib'!F114)/(24*'Input'!$F$58)*100</f>
        <v>0</v>
      </c>
      <c r="G47" s="6">
        <f>G$11*'Loads'!$B68*'LAFs'!G253*(1-'Contrib'!G114)/(24*'Input'!$F$58)*100</f>
        <v>0</v>
      </c>
      <c r="H47" s="6">
        <f>H$11*'Loads'!$B68*'LAFs'!H253*(1-'Contrib'!H114)/(24*'Input'!$F$58)*100</f>
        <v>0</v>
      </c>
      <c r="I47" s="6">
        <f>I$11*'Loads'!$B68*'LAFs'!I253*(1-'Contrib'!I114)/(24*'Input'!$F$58)*100</f>
        <v>0</v>
      </c>
      <c r="J47" s="6">
        <f>J$11*'Loads'!$B68*'LAFs'!J253*(1-'Contrib'!J114)/(24*'Input'!$F$58)*100</f>
        <v>0</v>
      </c>
      <c r="K47" s="6">
        <f>K$11*'Loads'!$B68*'LAFs'!B253*(1-'Contrib'!K114)/(24*'Input'!$F$58)*100</f>
        <v>0</v>
      </c>
      <c r="L47" s="6">
        <f>L$11*'Loads'!$B68*'LAFs'!C253*(1-'Contrib'!L114)/(24*'Input'!$F$58)*100</f>
        <v>0</v>
      </c>
      <c r="M47" s="6">
        <f>M$11*'Loads'!$B68*'LAFs'!D253*(1-'Contrib'!M114)/(24*'Input'!$F$58)*100</f>
        <v>0</v>
      </c>
      <c r="N47" s="6">
        <f>N$11*'Loads'!$B68*'LAFs'!E253*(1-'Contrib'!N114)/(24*'Input'!$F$58)*100</f>
        <v>0</v>
      </c>
      <c r="O47" s="6">
        <f>O$11*'Loads'!$B68*'LAFs'!F253*(1-'Contrib'!O114)/(24*'Input'!$F$58)*100</f>
        <v>0</v>
      </c>
      <c r="P47" s="6">
        <f>P$11*'Loads'!$B68*'LAFs'!G253*(1-'Contrib'!P114)/(24*'Input'!$F$58)*100</f>
        <v>0</v>
      </c>
      <c r="Q47" s="6">
        <f>Q$11*'Loads'!$B68*'LAFs'!H253*(1-'Contrib'!Q114)/(24*'Input'!$F$58)*100</f>
        <v>0</v>
      </c>
      <c r="R47" s="6">
        <f>R$11*'Loads'!$B68*'LAFs'!I253*(1-'Contrib'!R114)/(24*'Input'!$F$58)*100</f>
        <v>0</v>
      </c>
      <c r="S47" s="6">
        <f>S$11*'Loads'!$B68*'LAFs'!J253*(1-'Contrib'!S114)/(24*'Input'!$F$58)*100</f>
        <v>0</v>
      </c>
      <c r="T47" s="10"/>
    </row>
    <row r="49" spans="1:20">
      <c r="A49" s="1" t="s">
        <v>909</v>
      </c>
    </row>
    <row r="50" spans="1:20">
      <c r="A50" s="2" t="s">
        <v>349</v>
      </c>
    </row>
    <row r="51" spans="1:20">
      <c r="A51" s="12" t="s">
        <v>910</v>
      </c>
    </row>
    <row r="52" spans="1:20">
      <c r="A52" s="12" t="s">
        <v>911</v>
      </c>
    </row>
    <row r="53" spans="1:20">
      <c r="A53" s="12" t="s">
        <v>730</v>
      </c>
    </row>
    <row r="54" spans="1:20">
      <c r="A54" s="12" t="s">
        <v>907</v>
      </c>
    </row>
    <row r="55" spans="1:20">
      <c r="A55" s="12" t="s">
        <v>663</v>
      </c>
    </row>
    <row r="56" spans="1:20">
      <c r="A56" s="2" t="s">
        <v>912</v>
      </c>
    </row>
    <row r="58" spans="1:20">
      <c r="B58" s="3" t="s">
        <v>140</v>
      </c>
      <c r="C58" s="3" t="s">
        <v>304</v>
      </c>
      <c r="D58" s="3" t="s">
        <v>305</v>
      </c>
      <c r="E58" s="3" t="s">
        <v>306</v>
      </c>
      <c r="F58" s="3" t="s">
        <v>307</v>
      </c>
      <c r="G58" s="3" t="s">
        <v>308</v>
      </c>
      <c r="H58" s="3" t="s">
        <v>309</v>
      </c>
      <c r="I58" s="3" t="s">
        <v>310</v>
      </c>
      <c r="J58" s="3" t="s">
        <v>311</v>
      </c>
      <c r="K58" s="3" t="s">
        <v>292</v>
      </c>
      <c r="L58" s="3" t="s">
        <v>810</v>
      </c>
      <c r="M58" s="3" t="s">
        <v>811</v>
      </c>
      <c r="N58" s="3" t="s">
        <v>812</v>
      </c>
      <c r="O58" s="3" t="s">
        <v>813</v>
      </c>
      <c r="P58" s="3" t="s">
        <v>814</v>
      </c>
      <c r="Q58" s="3" t="s">
        <v>815</v>
      </c>
      <c r="R58" s="3" t="s">
        <v>816</v>
      </c>
      <c r="S58" s="3" t="s">
        <v>817</v>
      </c>
    </row>
    <row r="59" spans="1:20">
      <c r="A59" s="11" t="s">
        <v>173</v>
      </c>
      <c r="B59" s="6">
        <f>'Multi'!B567*B$11*'LAFs'!B$230*(1-'Contrib'!B$91)*100/(24*'Input'!$F$58)</f>
        <v>0</v>
      </c>
      <c r="C59" s="6">
        <f>'Multi'!C567*C$11*'LAFs'!C$230*(1-'Contrib'!C$91)*100/(24*'Input'!$F$58)</f>
        <v>0</v>
      </c>
      <c r="D59" s="6">
        <f>'Multi'!D567*D$11*'LAFs'!D$230*(1-'Contrib'!D$91)*100/(24*'Input'!$F$58)</f>
        <v>0</v>
      </c>
      <c r="E59" s="6">
        <f>'Multi'!E567*E$11*'LAFs'!E$230*(1-'Contrib'!E$91)*100/(24*'Input'!$F$58)</f>
        <v>0</v>
      </c>
      <c r="F59" s="6">
        <f>'Multi'!F567*F$11*'LAFs'!F$230*(1-'Contrib'!F$91)*100/(24*'Input'!$F$58)</f>
        <v>0</v>
      </c>
      <c r="G59" s="6">
        <f>'Multi'!G567*G$11*'LAFs'!G$230*(1-'Contrib'!G$91)*100/(24*'Input'!$F$58)</f>
        <v>0</v>
      </c>
      <c r="H59" s="6">
        <f>'Multi'!H567*H$11*'LAFs'!H$230*(1-'Contrib'!H$91)*100/(24*'Input'!$F$58)</f>
        <v>0</v>
      </c>
      <c r="I59" s="6">
        <f>'Multi'!I567*I$11*'LAFs'!I$230*(1-'Contrib'!I$91)*100/(24*'Input'!$F$58)</f>
        <v>0</v>
      </c>
      <c r="J59" s="6">
        <f>'Multi'!J567*J$11*'LAFs'!J$230*(1-'Contrib'!J$91)*100/(24*'Input'!$F$58)</f>
        <v>0</v>
      </c>
      <c r="K59" s="6">
        <f>'Multi'!B567*K$11*'LAFs'!B$230*(1-'Contrib'!K$91)*100/(24*'Input'!$F$58)</f>
        <v>0</v>
      </c>
      <c r="L59" s="6">
        <f>'Multi'!C567*L$11*'LAFs'!C$230*(1-'Contrib'!L$91)*100/(24*'Input'!$F$58)</f>
        <v>0</v>
      </c>
      <c r="M59" s="6">
        <f>'Multi'!D567*M$11*'LAFs'!D$230*(1-'Contrib'!M$91)*100/(24*'Input'!$F$58)</f>
        <v>0</v>
      </c>
      <c r="N59" s="6">
        <f>'Multi'!E567*N$11*'LAFs'!E$230*(1-'Contrib'!N$91)*100/(24*'Input'!$F$58)</f>
        <v>0</v>
      </c>
      <c r="O59" s="6">
        <f>'Multi'!F567*O$11*'LAFs'!F$230*(1-'Contrib'!O$91)*100/(24*'Input'!$F$58)</f>
        <v>0</v>
      </c>
      <c r="P59" s="6">
        <f>'Multi'!G567*P$11*'LAFs'!G$230*(1-'Contrib'!P$91)*100/(24*'Input'!$F$58)</f>
        <v>0</v>
      </c>
      <c r="Q59" s="6">
        <f>'Multi'!H567*Q$11*'LAFs'!H$230*(1-'Contrib'!Q$91)*100/(24*'Input'!$F$58)</f>
        <v>0</v>
      </c>
      <c r="R59" s="6">
        <f>'Multi'!I567*R$11*'LAFs'!I$230*(1-'Contrib'!R$91)*100/(24*'Input'!$F$58)</f>
        <v>0</v>
      </c>
      <c r="S59" s="6">
        <f>'Multi'!J567*S$11*'LAFs'!J$230*(1-'Contrib'!S$91)*100/(24*'Input'!$F$58)</f>
        <v>0</v>
      </c>
      <c r="T59" s="10"/>
    </row>
    <row r="60" spans="1:20">
      <c r="A60" s="11" t="s">
        <v>210</v>
      </c>
      <c r="B60" s="6">
        <f>'Multi'!B568*B$11*'LAFs'!B$231*(1-'Contrib'!B$92)*100/(24*'Input'!$F$58)</f>
        <v>0</v>
      </c>
      <c r="C60" s="6">
        <f>'Multi'!C568*C$11*'LAFs'!C$231*(1-'Contrib'!C$92)*100/(24*'Input'!$F$58)</f>
        <v>0</v>
      </c>
      <c r="D60" s="6">
        <f>'Multi'!D568*D$11*'LAFs'!D$231*(1-'Contrib'!D$92)*100/(24*'Input'!$F$58)</f>
        <v>0</v>
      </c>
      <c r="E60" s="6">
        <f>'Multi'!E568*E$11*'LAFs'!E$231*(1-'Contrib'!E$92)*100/(24*'Input'!$F$58)</f>
        <v>0</v>
      </c>
      <c r="F60" s="6">
        <f>'Multi'!F568*F$11*'LAFs'!F$231*(1-'Contrib'!F$92)*100/(24*'Input'!$F$58)</f>
        <v>0</v>
      </c>
      <c r="G60" s="6">
        <f>'Multi'!G568*G$11*'LAFs'!G$231*(1-'Contrib'!G$92)*100/(24*'Input'!$F$58)</f>
        <v>0</v>
      </c>
      <c r="H60" s="6">
        <f>'Multi'!H568*H$11*'LAFs'!H$231*(1-'Contrib'!H$92)*100/(24*'Input'!$F$58)</f>
        <v>0</v>
      </c>
      <c r="I60" s="6">
        <f>'Multi'!I568*I$11*'LAFs'!I$231*(1-'Contrib'!I$92)*100/(24*'Input'!$F$58)</f>
        <v>0</v>
      </c>
      <c r="J60" s="6">
        <f>'Multi'!J568*J$11*'LAFs'!J$231*(1-'Contrib'!J$92)*100/(24*'Input'!$F$58)</f>
        <v>0</v>
      </c>
      <c r="K60" s="6">
        <f>'Multi'!B568*K$11*'LAFs'!B$231*(1-'Contrib'!K$92)*100/(24*'Input'!$F$58)</f>
        <v>0</v>
      </c>
      <c r="L60" s="6">
        <f>'Multi'!C568*L$11*'LAFs'!C$231*(1-'Contrib'!L$92)*100/(24*'Input'!$F$58)</f>
        <v>0</v>
      </c>
      <c r="M60" s="6">
        <f>'Multi'!D568*M$11*'LAFs'!D$231*(1-'Contrib'!M$92)*100/(24*'Input'!$F$58)</f>
        <v>0</v>
      </c>
      <c r="N60" s="6">
        <f>'Multi'!E568*N$11*'LAFs'!E$231*(1-'Contrib'!N$92)*100/(24*'Input'!$F$58)</f>
        <v>0</v>
      </c>
      <c r="O60" s="6">
        <f>'Multi'!F568*O$11*'LAFs'!F$231*(1-'Contrib'!O$92)*100/(24*'Input'!$F$58)</f>
        <v>0</v>
      </c>
      <c r="P60" s="6">
        <f>'Multi'!G568*P$11*'LAFs'!G$231*(1-'Contrib'!P$92)*100/(24*'Input'!$F$58)</f>
        <v>0</v>
      </c>
      <c r="Q60" s="6">
        <f>'Multi'!H568*Q$11*'LAFs'!H$231*(1-'Contrib'!Q$92)*100/(24*'Input'!$F$58)</f>
        <v>0</v>
      </c>
      <c r="R60" s="6">
        <f>'Multi'!I568*R$11*'LAFs'!I$231*(1-'Contrib'!R$92)*100/(24*'Input'!$F$58)</f>
        <v>0</v>
      </c>
      <c r="S60" s="6">
        <f>'Multi'!J568*S$11*'LAFs'!J$231*(1-'Contrib'!S$92)*100/(24*'Input'!$F$58)</f>
        <v>0</v>
      </c>
      <c r="T60" s="10"/>
    </row>
    <row r="61" spans="1:20">
      <c r="A61" s="11" t="s">
        <v>175</v>
      </c>
      <c r="B61" s="6">
        <f>'Multi'!B569*B$11*'LAFs'!B$233*(1-'Contrib'!B$94)*100/(24*'Input'!$F$58)</f>
        <v>0</v>
      </c>
      <c r="C61" s="6">
        <f>'Multi'!C569*C$11*'LAFs'!C$233*(1-'Contrib'!C$94)*100/(24*'Input'!$F$58)</f>
        <v>0</v>
      </c>
      <c r="D61" s="6">
        <f>'Multi'!D569*D$11*'LAFs'!D$233*(1-'Contrib'!D$94)*100/(24*'Input'!$F$58)</f>
        <v>0</v>
      </c>
      <c r="E61" s="6">
        <f>'Multi'!E569*E$11*'LAFs'!E$233*(1-'Contrib'!E$94)*100/(24*'Input'!$F$58)</f>
        <v>0</v>
      </c>
      <c r="F61" s="6">
        <f>'Multi'!F569*F$11*'LAFs'!F$233*(1-'Contrib'!F$94)*100/(24*'Input'!$F$58)</f>
        <v>0</v>
      </c>
      <c r="G61" s="6">
        <f>'Multi'!G569*G$11*'LAFs'!G$233*(1-'Contrib'!G$94)*100/(24*'Input'!$F$58)</f>
        <v>0</v>
      </c>
      <c r="H61" s="6">
        <f>'Multi'!H569*H$11*'LAFs'!H$233*(1-'Contrib'!H$94)*100/(24*'Input'!$F$58)</f>
        <v>0</v>
      </c>
      <c r="I61" s="6">
        <f>'Multi'!I569*I$11*'LAFs'!I$233*(1-'Contrib'!I$94)*100/(24*'Input'!$F$58)</f>
        <v>0</v>
      </c>
      <c r="J61" s="6">
        <f>'Multi'!J569*J$11*'LAFs'!J$233*(1-'Contrib'!J$94)*100/(24*'Input'!$F$58)</f>
        <v>0</v>
      </c>
      <c r="K61" s="6">
        <f>'Multi'!B569*K$11*'LAFs'!B$233*(1-'Contrib'!K$94)*100/(24*'Input'!$F$58)</f>
        <v>0</v>
      </c>
      <c r="L61" s="6">
        <f>'Multi'!C569*L$11*'LAFs'!C$233*(1-'Contrib'!L$94)*100/(24*'Input'!$F$58)</f>
        <v>0</v>
      </c>
      <c r="M61" s="6">
        <f>'Multi'!D569*M$11*'LAFs'!D$233*(1-'Contrib'!M$94)*100/(24*'Input'!$F$58)</f>
        <v>0</v>
      </c>
      <c r="N61" s="6">
        <f>'Multi'!E569*N$11*'LAFs'!E$233*(1-'Contrib'!N$94)*100/(24*'Input'!$F$58)</f>
        <v>0</v>
      </c>
      <c r="O61" s="6">
        <f>'Multi'!F569*O$11*'LAFs'!F$233*(1-'Contrib'!O$94)*100/(24*'Input'!$F$58)</f>
        <v>0</v>
      </c>
      <c r="P61" s="6">
        <f>'Multi'!G569*P$11*'LAFs'!G$233*(1-'Contrib'!P$94)*100/(24*'Input'!$F$58)</f>
        <v>0</v>
      </c>
      <c r="Q61" s="6">
        <f>'Multi'!H569*Q$11*'LAFs'!H$233*(1-'Contrib'!Q$94)*100/(24*'Input'!$F$58)</f>
        <v>0</v>
      </c>
      <c r="R61" s="6">
        <f>'Multi'!I569*R$11*'LAFs'!I$233*(1-'Contrib'!R$94)*100/(24*'Input'!$F$58)</f>
        <v>0</v>
      </c>
      <c r="S61" s="6">
        <f>'Multi'!J569*S$11*'LAFs'!J$233*(1-'Contrib'!S$94)*100/(24*'Input'!$F$58)</f>
        <v>0</v>
      </c>
      <c r="T61" s="10"/>
    </row>
    <row r="62" spans="1:20">
      <c r="A62" s="11" t="s">
        <v>211</v>
      </c>
      <c r="B62" s="6">
        <f>'Multi'!B570*B$11*'LAFs'!B$234*(1-'Contrib'!B$95)*100/(24*'Input'!$F$58)</f>
        <v>0</v>
      </c>
      <c r="C62" s="6">
        <f>'Multi'!C570*C$11*'LAFs'!C$234*(1-'Contrib'!C$95)*100/(24*'Input'!$F$58)</f>
        <v>0</v>
      </c>
      <c r="D62" s="6">
        <f>'Multi'!D570*D$11*'LAFs'!D$234*(1-'Contrib'!D$95)*100/(24*'Input'!$F$58)</f>
        <v>0</v>
      </c>
      <c r="E62" s="6">
        <f>'Multi'!E570*E$11*'LAFs'!E$234*(1-'Contrib'!E$95)*100/(24*'Input'!$F$58)</f>
        <v>0</v>
      </c>
      <c r="F62" s="6">
        <f>'Multi'!F570*F$11*'LAFs'!F$234*(1-'Contrib'!F$95)*100/(24*'Input'!$F$58)</f>
        <v>0</v>
      </c>
      <c r="G62" s="6">
        <f>'Multi'!G570*G$11*'LAFs'!G$234*(1-'Contrib'!G$95)*100/(24*'Input'!$F$58)</f>
        <v>0</v>
      </c>
      <c r="H62" s="6">
        <f>'Multi'!H570*H$11*'LAFs'!H$234*(1-'Contrib'!H$95)*100/(24*'Input'!$F$58)</f>
        <v>0</v>
      </c>
      <c r="I62" s="6">
        <f>'Multi'!I570*I$11*'LAFs'!I$234*(1-'Contrib'!I$95)*100/(24*'Input'!$F$58)</f>
        <v>0</v>
      </c>
      <c r="J62" s="6">
        <f>'Multi'!J570*J$11*'LAFs'!J$234*(1-'Contrib'!J$95)*100/(24*'Input'!$F$58)</f>
        <v>0</v>
      </c>
      <c r="K62" s="6">
        <f>'Multi'!B570*K$11*'LAFs'!B$234*(1-'Contrib'!K$95)*100/(24*'Input'!$F$58)</f>
        <v>0</v>
      </c>
      <c r="L62" s="6">
        <f>'Multi'!C570*L$11*'LAFs'!C$234*(1-'Contrib'!L$95)*100/(24*'Input'!$F$58)</f>
        <v>0</v>
      </c>
      <c r="M62" s="6">
        <f>'Multi'!D570*M$11*'LAFs'!D$234*(1-'Contrib'!M$95)*100/(24*'Input'!$F$58)</f>
        <v>0</v>
      </c>
      <c r="N62" s="6">
        <f>'Multi'!E570*N$11*'LAFs'!E$234*(1-'Contrib'!N$95)*100/(24*'Input'!$F$58)</f>
        <v>0</v>
      </c>
      <c r="O62" s="6">
        <f>'Multi'!F570*O$11*'LAFs'!F$234*(1-'Contrib'!O$95)*100/(24*'Input'!$F$58)</f>
        <v>0</v>
      </c>
      <c r="P62" s="6">
        <f>'Multi'!G570*P$11*'LAFs'!G$234*(1-'Contrib'!P$95)*100/(24*'Input'!$F$58)</f>
        <v>0</v>
      </c>
      <c r="Q62" s="6">
        <f>'Multi'!H570*Q$11*'LAFs'!H$234*(1-'Contrib'!Q$95)*100/(24*'Input'!$F$58)</f>
        <v>0</v>
      </c>
      <c r="R62" s="6">
        <f>'Multi'!I570*R$11*'LAFs'!I$234*(1-'Contrib'!R$95)*100/(24*'Input'!$F$58)</f>
        <v>0</v>
      </c>
      <c r="S62" s="6">
        <f>'Multi'!J570*S$11*'LAFs'!J$234*(1-'Contrib'!S$95)*100/(24*'Input'!$F$58)</f>
        <v>0</v>
      </c>
      <c r="T62" s="10"/>
    </row>
    <row r="63" spans="1:20">
      <c r="A63" s="11" t="s">
        <v>176</v>
      </c>
      <c r="B63" s="6">
        <f>'Multi'!B571*B$11*'LAFs'!B$235*(1-'Contrib'!B$96)*100/(24*'Input'!$F$58)</f>
        <v>0</v>
      </c>
      <c r="C63" s="6">
        <f>'Multi'!C571*C$11*'LAFs'!C$235*(1-'Contrib'!C$96)*100/(24*'Input'!$F$58)</f>
        <v>0</v>
      </c>
      <c r="D63" s="6">
        <f>'Multi'!D571*D$11*'LAFs'!D$235*(1-'Contrib'!D$96)*100/(24*'Input'!$F$58)</f>
        <v>0</v>
      </c>
      <c r="E63" s="6">
        <f>'Multi'!E571*E$11*'LAFs'!E$235*(1-'Contrib'!E$96)*100/(24*'Input'!$F$58)</f>
        <v>0</v>
      </c>
      <c r="F63" s="6">
        <f>'Multi'!F571*F$11*'LAFs'!F$235*(1-'Contrib'!F$96)*100/(24*'Input'!$F$58)</f>
        <v>0</v>
      </c>
      <c r="G63" s="6">
        <f>'Multi'!G571*G$11*'LAFs'!G$235*(1-'Contrib'!G$96)*100/(24*'Input'!$F$58)</f>
        <v>0</v>
      </c>
      <c r="H63" s="6">
        <f>'Multi'!H571*H$11*'LAFs'!H$235*(1-'Contrib'!H$96)*100/(24*'Input'!$F$58)</f>
        <v>0</v>
      </c>
      <c r="I63" s="6">
        <f>'Multi'!I571*I$11*'LAFs'!I$235*(1-'Contrib'!I$96)*100/(24*'Input'!$F$58)</f>
        <v>0</v>
      </c>
      <c r="J63" s="6">
        <f>'Multi'!J571*J$11*'LAFs'!J$235*(1-'Contrib'!J$96)*100/(24*'Input'!$F$58)</f>
        <v>0</v>
      </c>
      <c r="K63" s="6">
        <f>'Multi'!B571*K$11*'LAFs'!B$235*(1-'Contrib'!K$96)*100/(24*'Input'!$F$58)</f>
        <v>0</v>
      </c>
      <c r="L63" s="6">
        <f>'Multi'!C571*L$11*'LAFs'!C$235*(1-'Contrib'!L$96)*100/(24*'Input'!$F$58)</f>
        <v>0</v>
      </c>
      <c r="M63" s="6">
        <f>'Multi'!D571*M$11*'LAFs'!D$235*(1-'Contrib'!M$96)*100/(24*'Input'!$F$58)</f>
        <v>0</v>
      </c>
      <c r="N63" s="6">
        <f>'Multi'!E571*N$11*'LAFs'!E$235*(1-'Contrib'!N$96)*100/(24*'Input'!$F$58)</f>
        <v>0</v>
      </c>
      <c r="O63" s="6">
        <f>'Multi'!F571*O$11*'LAFs'!F$235*(1-'Contrib'!O$96)*100/(24*'Input'!$F$58)</f>
        <v>0</v>
      </c>
      <c r="P63" s="6">
        <f>'Multi'!G571*P$11*'LAFs'!G$235*(1-'Contrib'!P$96)*100/(24*'Input'!$F$58)</f>
        <v>0</v>
      </c>
      <c r="Q63" s="6">
        <f>'Multi'!H571*Q$11*'LAFs'!H$235*(1-'Contrib'!Q$96)*100/(24*'Input'!$F$58)</f>
        <v>0</v>
      </c>
      <c r="R63" s="6">
        <f>'Multi'!I571*R$11*'LAFs'!I$235*(1-'Contrib'!R$96)*100/(24*'Input'!$F$58)</f>
        <v>0</v>
      </c>
      <c r="S63" s="6">
        <f>'Multi'!J571*S$11*'LAFs'!J$235*(1-'Contrib'!S$96)*100/(24*'Input'!$F$58)</f>
        <v>0</v>
      </c>
      <c r="T63" s="10"/>
    </row>
    <row r="64" spans="1:20">
      <c r="A64" s="11" t="s">
        <v>177</v>
      </c>
      <c r="B64" s="6">
        <f>'Multi'!B572*B$11*'LAFs'!B$236*(1-'Contrib'!B$97)*100/(24*'Input'!$F$58)</f>
        <v>0</v>
      </c>
      <c r="C64" s="6">
        <f>'Multi'!C572*C$11*'LAFs'!C$236*(1-'Contrib'!C$97)*100/(24*'Input'!$F$58)</f>
        <v>0</v>
      </c>
      <c r="D64" s="6">
        <f>'Multi'!D572*D$11*'LAFs'!D$236*(1-'Contrib'!D$97)*100/(24*'Input'!$F$58)</f>
        <v>0</v>
      </c>
      <c r="E64" s="6">
        <f>'Multi'!E572*E$11*'LAFs'!E$236*(1-'Contrib'!E$97)*100/(24*'Input'!$F$58)</f>
        <v>0</v>
      </c>
      <c r="F64" s="6">
        <f>'Multi'!F572*F$11*'LAFs'!F$236*(1-'Contrib'!F$97)*100/(24*'Input'!$F$58)</f>
        <v>0</v>
      </c>
      <c r="G64" s="6">
        <f>'Multi'!G572*G$11*'LAFs'!G$236*(1-'Contrib'!G$97)*100/(24*'Input'!$F$58)</f>
        <v>0</v>
      </c>
      <c r="H64" s="6">
        <f>'Multi'!H572*H$11*'LAFs'!H$236*(1-'Contrib'!H$97)*100/(24*'Input'!$F$58)</f>
        <v>0</v>
      </c>
      <c r="I64" s="6">
        <f>'Multi'!I572*I$11*'LAFs'!I$236*(1-'Contrib'!I$97)*100/(24*'Input'!$F$58)</f>
        <v>0</v>
      </c>
      <c r="J64" s="6">
        <f>'Multi'!J572*J$11*'LAFs'!J$236*(1-'Contrib'!J$97)*100/(24*'Input'!$F$58)</f>
        <v>0</v>
      </c>
      <c r="K64" s="6">
        <f>'Multi'!B572*K$11*'LAFs'!B$236*(1-'Contrib'!K$97)*100/(24*'Input'!$F$58)</f>
        <v>0</v>
      </c>
      <c r="L64" s="6">
        <f>'Multi'!C572*L$11*'LAFs'!C$236*(1-'Contrib'!L$97)*100/(24*'Input'!$F$58)</f>
        <v>0</v>
      </c>
      <c r="M64" s="6">
        <f>'Multi'!D572*M$11*'LAFs'!D$236*(1-'Contrib'!M$97)*100/(24*'Input'!$F$58)</f>
        <v>0</v>
      </c>
      <c r="N64" s="6">
        <f>'Multi'!E572*N$11*'LAFs'!E$236*(1-'Contrib'!N$97)*100/(24*'Input'!$F$58)</f>
        <v>0</v>
      </c>
      <c r="O64" s="6">
        <f>'Multi'!F572*O$11*'LAFs'!F$236*(1-'Contrib'!O$97)*100/(24*'Input'!$F$58)</f>
        <v>0</v>
      </c>
      <c r="P64" s="6">
        <f>'Multi'!G572*P$11*'LAFs'!G$236*(1-'Contrib'!P$97)*100/(24*'Input'!$F$58)</f>
        <v>0</v>
      </c>
      <c r="Q64" s="6">
        <f>'Multi'!H572*Q$11*'LAFs'!H$236*(1-'Contrib'!Q$97)*100/(24*'Input'!$F$58)</f>
        <v>0</v>
      </c>
      <c r="R64" s="6">
        <f>'Multi'!I572*R$11*'LAFs'!I$236*(1-'Contrib'!R$97)*100/(24*'Input'!$F$58)</f>
        <v>0</v>
      </c>
      <c r="S64" s="6">
        <f>'Multi'!J572*S$11*'LAFs'!J$236*(1-'Contrib'!S$97)*100/(24*'Input'!$F$58)</f>
        <v>0</v>
      </c>
      <c r="T64" s="10"/>
    </row>
    <row r="65" spans="1:20">
      <c r="A65" s="11" t="s">
        <v>191</v>
      </c>
      <c r="B65" s="6">
        <f>'Multi'!B573*B$11*'LAFs'!B$237*(1-'Contrib'!B$98)*100/(24*'Input'!$F$58)</f>
        <v>0</v>
      </c>
      <c r="C65" s="6">
        <f>'Multi'!C573*C$11*'LAFs'!C$237*(1-'Contrib'!C$98)*100/(24*'Input'!$F$58)</f>
        <v>0</v>
      </c>
      <c r="D65" s="6">
        <f>'Multi'!D573*D$11*'LAFs'!D$237*(1-'Contrib'!D$98)*100/(24*'Input'!$F$58)</f>
        <v>0</v>
      </c>
      <c r="E65" s="6">
        <f>'Multi'!E573*E$11*'LAFs'!E$237*(1-'Contrib'!E$98)*100/(24*'Input'!$F$58)</f>
        <v>0</v>
      </c>
      <c r="F65" s="6">
        <f>'Multi'!F573*F$11*'LAFs'!F$237*(1-'Contrib'!F$98)*100/(24*'Input'!$F$58)</f>
        <v>0</v>
      </c>
      <c r="G65" s="6">
        <f>'Multi'!G573*G$11*'LAFs'!G$237*(1-'Contrib'!G$98)*100/(24*'Input'!$F$58)</f>
        <v>0</v>
      </c>
      <c r="H65" s="6">
        <f>'Multi'!H573*H$11*'LAFs'!H$237*(1-'Contrib'!H$98)*100/(24*'Input'!$F$58)</f>
        <v>0</v>
      </c>
      <c r="I65" s="6">
        <f>'Multi'!I573*I$11*'LAFs'!I$237*(1-'Contrib'!I$98)*100/(24*'Input'!$F$58)</f>
        <v>0</v>
      </c>
      <c r="J65" s="6">
        <f>'Multi'!J573*J$11*'LAFs'!J$237*(1-'Contrib'!J$98)*100/(24*'Input'!$F$58)</f>
        <v>0</v>
      </c>
      <c r="K65" s="6">
        <f>'Multi'!B573*K$11*'LAFs'!B$237*(1-'Contrib'!K$98)*100/(24*'Input'!$F$58)</f>
        <v>0</v>
      </c>
      <c r="L65" s="6">
        <f>'Multi'!C573*L$11*'LAFs'!C$237*(1-'Contrib'!L$98)*100/(24*'Input'!$F$58)</f>
        <v>0</v>
      </c>
      <c r="M65" s="6">
        <f>'Multi'!D573*M$11*'LAFs'!D$237*(1-'Contrib'!M$98)*100/(24*'Input'!$F$58)</f>
        <v>0</v>
      </c>
      <c r="N65" s="6">
        <f>'Multi'!E573*N$11*'LAFs'!E$237*(1-'Contrib'!N$98)*100/(24*'Input'!$F$58)</f>
        <v>0</v>
      </c>
      <c r="O65" s="6">
        <f>'Multi'!F573*O$11*'LAFs'!F$237*(1-'Contrib'!O$98)*100/(24*'Input'!$F$58)</f>
        <v>0</v>
      </c>
      <c r="P65" s="6">
        <f>'Multi'!G573*P$11*'LAFs'!G$237*(1-'Contrib'!P$98)*100/(24*'Input'!$F$58)</f>
        <v>0</v>
      </c>
      <c r="Q65" s="6">
        <f>'Multi'!H573*Q$11*'LAFs'!H$237*(1-'Contrib'!Q$98)*100/(24*'Input'!$F$58)</f>
        <v>0</v>
      </c>
      <c r="R65" s="6">
        <f>'Multi'!I573*R$11*'LAFs'!I$237*(1-'Contrib'!R$98)*100/(24*'Input'!$F$58)</f>
        <v>0</v>
      </c>
      <c r="S65" s="6">
        <f>'Multi'!J573*S$11*'LAFs'!J$237*(1-'Contrib'!S$98)*100/(24*'Input'!$F$58)</f>
        <v>0</v>
      </c>
      <c r="T65" s="10"/>
    </row>
    <row r="66" spans="1:20">
      <c r="A66" s="11" t="s">
        <v>178</v>
      </c>
      <c r="B66" s="6">
        <f>'Multi'!B574*B$11*'LAFs'!B$238*(1-'Contrib'!B$99)*100/(24*'Input'!$F$58)</f>
        <v>0</v>
      </c>
      <c r="C66" s="6">
        <f>'Multi'!C574*C$11*'LAFs'!C$238*(1-'Contrib'!C$99)*100/(24*'Input'!$F$58)</f>
        <v>0</v>
      </c>
      <c r="D66" s="6">
        <f>'Multi'!D574*D$11*'LAFs'!D$238*(1-'Contrib'!D$99)*100/(24*'Input'!$F$58)</f>
        <v>0</v>
      </c>
      <c r="E66" s="6">
        <f>'Multi'!E574*E$11*'LAFs'!E$238*(1-'Contrib'!E$99)*100/(24*'Input'!$F$58)</f>
        <v>0</v>
      </c>
      <c r="F66" s="6">
        <f>'Multi'!F574*F$11*'LAFs'!F$238*(1-'Contrib'!F$99)*100/(24*'Input'!$F$58)</f>
        <v>0</v>
      </c>
      <c r="G66" s="6">
        <f>'Multi'!G574*G$11*'LAFs'!G$238*(1-'Contrib'!G$99)*100/(24*'Input'!$F$58)</f>
        <v>0</v>
      </c>
      <c r="H66" s="6">
        <f>'Multi'!H574*H$11*'LAFs'!H$238*(1-'Contrib'!H$99)*100/(24*'Input'!$F$58)</f>
        <v>0</v>
      </c>
      <c r="I66" s="6">
        <f>'Multi'!I574*I$11*'LAFs'!I$238*(1-'Contrib'!I$99)*100/(24*'Input'!$F$58)</f>
        <v>0</v>
      </c>
      <c r="J66" s="6">
        <f>'Multi'!J574*J$11*'LAFs'!J$238*(1-'Contrib'!J$99)*100/(24*'Input'!$F$58)</f>
        <v>0</v>
      </c>
      <c r="K66" s="6">
        <f>'Multi'!B574*K$11*'LAFs'!B$238*(1-'Contrib'!K$99)*100/(24*'Input'!$F$58)</f>
        <v>0</v>
      </c>
      <c r="L66" s="6">
        <f>'Multi'!C574*L$11*'LAFs'!C$238*(1-'Contrib'!L$99)*100/(24*'Input'!$F$58)</f>
        <v>0</v>
      </c>
      <c r="M66" s="6">
        <f>'Multi'!D574*M$11*'LAFs'!D$238*(1-'Contrib'!M$99)*100/(24*'Input'!$F$58)</f>
        <v>0</v>
      </c>
      <c r="N66" s="6">
        <f>'Multi'!E574*N$11*'LAFs'!E$238*(1-'Contrib'!N$99)*100/(24*'Input'!$F$58)</f>
        <v>0</v>
      </c>
      <c r="O66" s="6">
        <f>'Multi'!F574*O$11*'LAFs'!F$238*(1-'Contrib'!O$99)*100/(24*'Input'!$F$58)</f>
        <v>0</v>
      </c>
      <c r="P66" s="6">
        <f>'Multi'!G574*P$11*'LAFs'!G$238*(1-'Contrib'!P$99)*100/(24*'Input'!$F$58)</f>
        <v>0</v>
      </c>
      <c r="Q66" s="6">
        <f>'Multi'!H574*Q$11*'LAFs'!H$238*(1-'Contrib'!Q$99)*100/(24*'Input'!$F$58)</f>
        <v>0</v>
      </c>
      <c r="R66" s="6">
        <f>'Multi'!I574*R$11*'LAFs'!I$238*(1-'Contrib'!R$99)*100/(24*'Input'!$F$58)</f>
        <v>0</v>
      </c>
      <c r="S66" s="6">
        <f>'Multi'!J574*S$11*'LAFs'!J$238*(1-'Contrib'!S$99)*100/(24*'Input'!$F$58)</f>
        <v>0</v>
      </c>
      <c r="T66" s="10"/>
    </row>
    <row r="67" spans="1:20">
      <c r="A67" s="11" t="s">
        <v>179</v>
      </c>
      <c r="B67" s="6">
        <f>'Multi'!B575*B$11*'LAFs'!B$239*(1-'Contrib'!B$100)*100/(24*'Input'!$F$58)</f>
        <v>0</v>
      </c>
      <c r="C67" s="6">
        <f>'Multi'!C575*C$11*'LAFs'!C$239*(1-'Contrib'!C$100)*100/(24*'Input'!$F$58)</f>
        <v>0</v>
      </c>
      <c r="D67" s="6">
        <f>'Multi'!D575*D$11*'LAFs'!D$239*(1-'Contrib'!D$100)*100/(24*'Input'!$F$58)</f>
        <v>0</v>
      </c>
      <c r="E67" s="6">
        <f>'Multi'!E575*E$11*'LAFs'!E$239*(1-'Contrib'!E$100)*100/(24*'Input'!$F$58)</f>
        <v>0</v>
      </c>
      <c r="F67" s="6">
        <f>'Multi'!F575*F$11*'LAFs'!F$239*(1-'Contrib'!F$100)*100/(24*'Input'!$F$58)</f>
        <v>0</v>
      </c>
      <c r="G67" s="6">
        <f>'Multi'!G575*G$11*'LAFs'!G$239*(1-'Contrib'!G$100)*100/(24*'Input'!$F$58)</f>
        <v>0</v>
      </c>
      <c r="H67" s="6">
        <f>'Multi'!H575*H$11*'LAFs'!H$239*(1-'Contrib'!H$100)*100/(24*'Input'!$F$58)</f>
        <v>0</v>
      </c>
      <c r="I67" s="6">
        <f>'Multi'!I575*I$11*'LAFs'!I$239*(1-'Contrib'!I$100)*100/(24*'Input'!$F$58)</f>
        <v>0</v>
      </c>
      <c r="J67" s="6">
        <f>'Multi'!J575*J$11*'LAFs'!J$239*(1-'Contrib'!J$100)*100/(24*'Input'!$F$58)</f>
        <v>0</v>
      </c>
      <c r="K67" s="6">
        <f>'Multi'!B575*K$11*'LAFs'!B$239*(1-'Contrib'!K$100)*100/(24*'Input'!$F$58)</f>
        <v>0</v>
      </c>
      <c r="L67" s="6">
        <f>'Multi'!C575*L$11*'LAFs'!C$239*(1-'Contrib'!L$100)*100/(24*'Input'!$F$58)</f>
        <v>0</v>
      </c>
      <c r="M67" s="6">
        <f>'Multi'!D575*M$11*'LAFs'!D$239*(1-'Contrib'!M$100)*100/(24*'Input'!$F$58)</f>
        <v>0</v>
      </c>
      <c r="N67" s="6">
        <f>'Multi'!E575*N$11*'LAFs'!E$239*(1-'Contrib'!N$100)*100/(24*'Input'!$F$58)</f>
        <v>0</v>
      </c>
      <c r="O67" s="6">
        <f>'Multi'!F575*O$11*'LAFs'!F$239*(1-'Contrib'!O$100)*100/(24*'Input'!$F$58)</f>
        <v>0</v>
      </c>
      <c r="P67" s="6">
        <f>'Multi'!G575*P$11*'LAFs'!G$239*(1-'Contrib'!P$100)*100/(24*'Input'!$F$58)</f>
        <v>0</v>
      </c>
      <c r="Q67" s="6">
        <f>'Multi'!H575*Q$11*'LAFs'!H$239*(1-'Contrib'!Q$100)*100/(24*'Input'!$F$58)</f>
        <v>0</v>
      </c>
      <c r="R67" s="6">
        <f>'Multi'!I575*R$11*'LAFs'!I$239*(1-'Contrib'!R$100)*100/(24*'Input'!$F$58)</f>
        <v>0</v>
      </c>
      <c r="S67" s="6">
        <f>'Multi'!J575*S$11*'LAFs'!J$239*(1-'Contrib'!S$100)*100/(24*'Input'!$F$58)</f>
        <v>0</v>
      </c>
      <c r="T67" s="10"/>
    </row>
    <row r="68" spans="1:20">
      <c r="A68" s="11" t="s">
        <v>192</v>
      </c>
      <c r="B68" s="6">
        <f>'Multi'!B576*B$11*'LAFs'!B$240*(1-'Contrib'!B$101)*100/(24*'Input'!$F$58)</f>
        <v>0</v>
      </c>
      <c r="C68" s="6">
        <f>'Multi'!C576*C$11*'LAFs'!C$240*(1-'Contrib'!C$101)*100/(24*'Input'!$F$58)</f>
        <v>0</v>
      </c>
      <c r="D68" s="6">
        <f>'Multi'!D576*D$11*'LAFs'!D$240*(1-'Contrib'!D$101)*100/(24*'Input'!$F$58)</f>
        <v>0</v>
      </c>
      <c r="E68" s="6">
        <f>'Multi'!E576*E$11*'LAFs'!E$240*(1-'Contrib'!E$101)*100/(24*'Input'!$F$58)</f>
        <v>0</v>
      </c>
      <c r="F68" s="6">
        <f>'Multi'!F576*F$11*'LAFs'!F$240*(1-'Contrib'!F$101)*100/(24*'Input'!$F$58)</f>
        <v>0</v>
      </c>
      <c r="G68" s="6">
        <f>'Multi'!G576*G$11*'LAFs'!G$240*(1-'Contrib'!G$101)*100/(24*'Input'!$F$58)</f>
        <v>0</v>
      </c>
      <c r="H68" s="6">
        <f>'Multi'!H576*H$11*'LAFs'!H$240*(1-'Contrib'!H$101)*100/(24*'Input'!$F$58)</f>
        <v>0</v>
      </c>
      <c r="I68" s="6">
        <f>'Multi'!I576*I$11*'LAFs'!I$240*(1-'Contrib'!I$101)*100/(24*'Input'!$F$58)</f>
        <v>0</v>
      </c>
      <c r="J68" s="6">
        <f>'Multi'!J576*J$11*'LAFs'!J$240*(1-'Contrib'!J$101)*100/(24*'Input'!$F$58)</f>
        <v>0</v>
      </c>
      <c r="K68" s="6">
        <f>'Multi'!B576*K$11*'LAFs'!B$240*(1-'Contrib'!K$101)*100/(24*'Input'!$F$58)</f>
        <v>0</v>
      </c>
      <c r="L68" s="6">
        <f>'Multi'!C576*L$11*'LAFs'!C$240*(1-'Contrib'!L$101)*100/(24*'Input'!$F$58)</f>
        <v>0</v>
      </c>
      <c r="M68" s="6">
        <f>'Multi'!D576*M$11*'LAFs'!D$240*(1-'Contrib'!M$101)*100/(24*'Input'!$F$58)</f>
        <v>0</v>
      </c>
      <c r="N68" s="6">
        <f>'Multi'!E576*N$11*'LAFs'!E$240*(1-'Contrib'!N$101)*100/(24*'Input'!$F$58)</f>
        <v>0</v>
      </c>
      <c r="O68" s="6">
        <f>'Multi'!F576*O$11*'LAFs'!F$240*(1-'Contrib'!O$101)*100/(24*'Input'!$F$58)</f>
        <v>0</v>
      </c>
      <c r="P68" s="6">
        <f>'Multi'!G576*P$11*'LAFs'!G$240*(1-'Contrib'!P$101)*100/(24*'Input'!$F$58)</f>
        <v>0</v>
      </c>
      <c r="Q68" s="6">
        <f>'Multi'!H576*Q$11*'LAFs'!H$240*(1-'Contrib'!Q$101)*100/(24*'Input'!$F$58)</f>
        <v>0</v>
      </c>
      <c r="R68" s="6">
        <f>'Multi'!I576*R$11*'LAFs'!I$240*(1-'Contrib'!R$101)*100/(24*'Input'!$F$58)</f>
        <v>0</v>
      </c>
      <c r="S68" s="6">
        <f>'Multi'!J576*S$11*'LAFs'!J$240*(1-'Contrib'!S$101)*100/(24*'Input'!$F$58)</f>
        <v>0</v>
      </c>
      <c r="T68" s="10"/>
    </row>
    <row r="69" spans="1:20">
      <c r="A69" s="11" t="s">
        <v>183</v>
      </c>
      <c r="B69" s="6">
        <f>'Multi'!B577*B$11*'LAFs'!B$249*(1-'Contrib'!B$110)*100/(24*'Input'!$F$58)</f>
        <v>0</v>
      </c>
      <c r="C69" s="6">
        <f>'Multi'!C577*C$11*'LAFs'!C$249*(1-'Contrib'!C$110)*100/(24*'Input'!$F$58)</f>
        <v>0</v>
      </c>
      <c r="D69" s="6">
        <f>'Multi'!D577*D$11*'LAFs'!D$249*(1-'Contrib'!D$110)*100/(24*'Input'!$F$58)</f>
        <v>0</v>
      </c>
      <c r="E69" s="6">
        <f>'Multi'!E577*E$11*'LAFs'!E$249*(1-'Contrib'!E$110)*100/(24*'Input'!$F$58)</f>
        <v>0</v>
      </c>
      <c r="F69" s="6">
        <f>'Multi'!F577*F$11*'LAFs'!F$249*(1-'Contrib'!F$110)*100/(24*'Input'!$F$58)</f>
        <v>0</v>
      </c>
      <c r="G69" s="6">
        <f>'Multi'!G577*G$11*'LAFs'!G$249*(1-'Contrib'!G$110)*100/(24*'Input'!$F$58)</f>
        <v>0</v>
      </c>
      <c r="H69" s="6">
        <f>'Multi'!H577*H$11*'LAFs'!H$249*(1-'Contrib'!H$110)*100/(24*'Input'!$F$58)</f>
        <v>0</v>
      </c>
      <c r="I69" s="6">
        <f>'Multi'!I577*I$11*'LAFs'!I$249*(1-'Contrib'!I$110)*100/(24*'Input'!$F$58)</f>
        <v>0</v>
      </c>
      <c r="J69" s="6">
        <f>'Multi'!J577*J$11*'LAFs'!J$249*(1-'Contrib'!J$110)*100/(24*'Input'!$F$58)</f>
        <v>0</v>
      </c>
      <c r="K69" s="6">
        <f>'Multi'!B577*K$11*'LAFs'!B$249*(1-'Contrib'!K$110)*100/(24*'Input'!$F$58)</f>
        <v>0</v>
      </c>
      <c r="L69" s="6">
        <f>'Multi'!C577*L$11*'LAFs'!C$249*(1-'Contrib'!L$110)*100/(24*'Input'!$F$58)</f>
        <v>0</v>
      </c>
      <c r="M69" s="6">
        <f>'Multi'!D577*M$11*'LAFs'!D$249*(1-'Contrib'!M$110)*100/(24*'Input'!$F$58)</f>
        <v>0</v>
      </c>
      <c r="N69" s="6">
        <f>'Multi'!E577*N$11*'LAFs'!E$249*(1-'Contrib'!N$110)*100/(24*'Input'!$F$58)</f>
        <v>0</v>
      </c>
      <c r="O69" s="6">
        <f>'Multi'!F577*O$11*'LAFs'!F$249*(1-'Contrib'!O$110)*100/(24*'Input'!$F$58)</f>
        <v>0</v>
      </c>
      <c r="P69" s="6">
        <f>'Multi'!G577*P$11*'LAFs'!G$249*(1-'Contrib'!P$110)*100/(24*'Input'!$F$58)</f>
        <v>0</v>
      </c>
      <c r="Q69" s="6">
        <f>'Multi'!H577*Q$11*'LAFs'!H$249*(1-'Contrib'!Q$110)*100/(24*'Input'!$F$58)</f>
        <v>0</v>
      </c>
      <c r="R69" s="6">
        <f>'Multi'!I577*R$11*'LAFs'!I$249*(1-'Contrib'!R$110)*100/(24*'Input'!$F$58)</f>
        <v>0</v>
      </c>
      <c r="S69" s="6">
        <f>'Multi'!J577*S$11*'LAFs'!J$249*(1-'Contrib'!S$110)*100/(24*'Input'!$F$58)</f>
        <v>0</v>
      </c>
      <c r="T69" s="10"/>
    </row>
    <row r="70" spans="1:20">
      <c r="A70" s="11" t="s">
        <v>185</v>
      </c>
      <c r="B70" s="6">
        <f>'Multi'!B578*B$11*'LAFs'!B$251*(1-'Contrib'!B$112)*100/(24*'Input'!$F$58)</f>
        <v>0</v>
      </c>
      <c r="C70" s="6">
        <f>'Multi'!C578*C$11*'LAFs'!C$251*(1-'Contrib'!C$112)*100/(24*'Input'!$F$58)</f>
        <v>0</v>
      </c>
      <c r="D70" s="6">
        <f>'Multi'!D578*D$11*'LAFs'!D$251*(1-'Contrib'!D$112)*100/(24*'Input'!$F$58)</f>
        <v>0</v>
      </c>
      <c r="E70" s="6">
        <f>'Multi'!E578*E$11*'LAFs'!E$251*(1-'Contrib'!E$112)*100/(24*'Input'!$F$58)</f>
        <v>0</v>
      </c>
      <c r="F70" s="6">
        <f>'Multi'!F578*F$11*'LAFs'!F$251*(1-'Contrib'!F$112)*100/(24*'Input'!$F$58)</f>
        <v>0</v>
      </c>
      <c r="G70" s="6">
        <f>'Multi'!G578*G$11*'LAFs'!G$251*(1-'Contrib'!G$112)*100/(24*'Input'!$F$58)</f>
        <v>0</v>
      </c>
      <c r="H70" s="6">
        <f>'Multi'!H578*H$11*'LAFs'!H$251*(1-'Contrib'!H$112)*100/(24*'Input'!$F$58)</f>
        <v>0</v>
      </c>
      <c r="I70" s="6">
        <f>'Multi'!I578*I$11*'LAFs'!I$251*(1-'Contrib'!I$112)*100/(24*'Input'!$F$58)</f>
        <v>0</v>
      </c>
      <c r="J70" s="6">
        <f>'Multi'!J578*J$11*'LAFs'!J$251*(1-'Contrib'!J$112)*100/(24*'Input'!$F$58)</f>
        <v>0</v>
      </c>
      <c r="K70" s="6">
        <f>'Multi'!B578*K$11*'LAFs'!B$251*(1-'Contrib'!K$112)*100/(24*'Input'!$F$58)</f>
        <v>0</v>
      </c>
      <c r="L70" s="6">
        <f>'Multi'!C578*L$11*'LAFs'!C$251*(1-'Contrib'!L$112)*100/(24*'Input'!$F$58)</f>
        <v>0</v>
      </c>
      <c r="M70" s="6">
        <f>'Multi'!D578*M$11*'LAFs'!D$251*(1-'Contrib'!M$112)*100/(24*'Input'!$F$58)</f>
        <v>0</v>
      </c>
      <c r="N70" s="6">
        <f>'Multi'!E578*N$11*'LAFs'!E$251*(1-'Contrib'!N$112)*100/(24*'Input'!$F$58)</f>
        <v>0</v>
      </c>
      <c r="O70" s="6">
        <f>'Multi'!F578*O$11*'LAFs'!F$251*(1-'Contrib'!O$112)*100/(24*'Input'!$F$58)</f>
        <v>0</v>
      </c>
      <c r="P70" s="6">
        <f>'Multi'!G578*P$11*'LAFs'!G$251*(1-'Contrib'!P$112)*100/(24*'Input'!$F$58)</f>
        <v>0</v>
      </c>
      <c r="Q70" s="6">
        <f>'Multi'!H578*Q$11*'LAFs'!H$251*(1-'Contrib'!Q$112)*100/(24*'Input'!$F$58)</f>
        <v>0</v>
      </c>
      <c r="R70" s="6">
        <f>'Multi'!I578*R$11*'LAFs'!I$251*(1-'Contrib'!R$112)*100/(24*'Input'!$F$58)</f>
        <v>0</v>
      </c>
      <c r="S70" s="6">
        <f>'Multi'!J578*S$11*'LAFs'!J$251*(1-'Contrib'!S$112)*100/(24*'Input'!$F$58)</f>
        <v>0</v>
      </c>
      <c r="T70" s="10"/>
    </row>
    <row r="71" spans="1:20">
      <c r="A71" s="11" t="s">
        <v>194</v>
      </c>
      <c r="B71" s="6">
        <f>'Multi'!B579*B$11*'LAFs'!B$253*(1-'Contrib'!B$114)*100/(24*'Input'!$F$58)</f>
        <v>0</v>
      </c>
      <c r="C71" s="6">
        <f>'Multi'!C579*C$11*'LAFs'!C$253*(1-'Contrib'!C$114)*100/(24*'Input'!$F$58)</f>
        <v>0</v>
      </c>
      <c r="D71" s="6">
        <f>'Multi'!D579*D$11*'LAFs'!D$253*(1-'Contrib'!D$114)*100/(24*'Input'!$F$58)</f>
        <v>0</v>
      </c>
      <c r="E71" s="6">
        <f>'Multi'!E579*E$11*'LAFs'!E$253*(1-'Contrib'!E$114)*100/(24*'Input'!$F$58)</f>
        <v>0</v>
      </c>
      <c r="F71" s="6">
        <f>'Multi'!F579*F$11*'LAFs'!F$253*(1-'Contrib'!F$114)*100/(24*'Input'!$F$58)</f>
        <v>0</v>
      </c>
      <c r="G71" s="6">
        <f>'Multi'!G579*G$11*'LAFs'!G$253*(1-'Contrib'!G$114)*100/(24*'Input'!$F$58)</f>
        <v>0</v>
      </c>
      <c r="H71" s="6">
        <f>'Multi'!H579*H$11*'LAFs'!H$253*(1-'Contrib'!H$114)*100/(24*'Input'!$F$58)</f>
        <v>0</v>
      </c>
      <c r="I71" s="6">
        <f>'Multi'!I579*I$11*'LAFs'!I$253*(1-'Contrib'!I$114)*100/(24*'Input'!$F$58)</f>
        <v>0</v>
      </c>
      <c r="J71" s="6">
        <f>'Multi'!J579*J$11*'LAFs'!J$253*(1-'Contrib'!J$114)*100/(24*'Input'!$F$58)</f>
        <v>0</v>
      </c>
      <c r="K71" s="6">
        <f>'Multi'!B579*K$11*'LAFs'!B$253*(1-'Contrib'!K$114)*100/(24*'Input'!$F$58)</f>
        <v>0</v>
      </c>
      <c r="L71" s="6">
        <f>'Multi'!C579*L$11*'LAFs'!C$253*(1-'Contrib'!L$114)*100/(24*'Input'!$F$58)</f>
        <v>0</v>
      </c>
      <c r="M71" s="6">
        <f>'Multi'!D579*M$11*'LAFs'!D$253*(1-'Contrib'!M$114)*100/(24*'Input'!$F$58)</f>
        <v>0</v>
      </c>
      <c r="N71" s="6">
        <f>'Multi'!E579*N$11*'LAFs'!E$253*(1-'Contrib'!N$114)*100/(24*'Input'!$F$58)</f>
        <v>0</v>
      </c>
      <c r="O71" s="6">
        <f>'Multi'!F579*O$11*'LAFs'!F$253*(1-'Contrib'!O$114)*100/(24*'Input'!$F$58)</f>
        <v>0</v>
      </c>
      <c r="P71" s="6">
        <f>'Multi'!G579*P$11*'LAFs'!G$253*(1-'Contrib'!P$114)*100/(24*'Input'!$F$58)</f>
        <v>0</v>
      </c>
      <c r="Q71" s="6">
        <f>'Multi'!H579*Q$11*'LAFs'!H$253*(1-'Contrib'!Q$114)*100/(24*'Input'!$F$58)</f>
        <v>0</v>
      </c>
      <c r="R71" s="6">
        <f>'Multi'!I579*R$11*'LAFs'!I$253*(1-'Contrib'!R$114)*100/(24*'Input'!$F$58)</f>
        <v>0</v>
      </c>
      <c r="S71" s="6">
        <f>'Multi'!J579*S$11*'LAFs'!J$253*(1-'Contrib'!S$114)*100/(24*'Input'!$F$58)</f>
        <v>0</v>
      </c>
      <c r="T71" s="10"/>
    </row>
    <row r="72" spans="1:20">
      <c r="A72" s="11" t="s">
        <v>212</v>
      </c>
      <c r="B72" s="6">
        <f>'Multi'!B580*B$11*'LAFs'!B$241*(1-'Contrib'!B$102)*100/(24*'Input'!$F$58)</f>
        <v>0</v>
      </c>
      <c r="C72" s="6">
        <f>'Multi'!C580*C$11*'LAFs'!C$241*(1-'Contrib'!C$102)*100/(24*'Input'!$F$58)</f>
        <v>0</v>
      </c>
      <c r="D72" s="6">
        <f>'Multi'!D580*D$11*'LAFs'!D$241*(1-'Contrib'!D$102)*100/(24*'Input'!$F$58)</f>
        <v>0</v>
      </c>
      <c r="E72" s="6">
        <f>'Multi'!E580*E$11*'LAFs'!E$241*(1-'Contrib'!E$102)*100/(24*'Input'!$F$58)</f>
        <v>0</v>
      </c>
      <c r="F72" s="6">
        <f>'Multi'!F580*F$11*'LAFs'!F$241*(1-'Contrib'!F$102)*100/(24*'Input'!$F$58)</f>
        <v>0</v>
      </c>
      <c r="G72" s="6">
        <f>'Multi'!G580*G$11*'LAFs'!G$241*(1-'Contrib'!G$102)*100/(24*'Input'!$F$58)</f>
        <v>0</v>
      </c>
      <c r="H72" s="6">
        <f>'Multi'!H580*H$11*'LAFs'!H$241*(1-'Contrib'!H$102)*100/(24*'Input'!$F$58)</f>
        <v>0</v>
      </c>
      <c r="I72" s="6">
        <f>'Multi'!I580*I$11*'LAFs'!I$241*(1-'Contrib'!I$102)*100/(24*'Input'!$F$58)</f>
        <v>0</v>
      </c>
      <c r="J72" s="6">
        <f>'Multi'!J580*J$11*'LAFs'!J$241*(1-'Contrib'!J$102)*100/(24*'Input'!$F$58)</f>
        <v>0</v>
      </c>
      <c r="K72" s="6">
        <f>'Multi'!B580*K$11*'LAFs'!B$241*(1-'Contrib'!K$102)*100/(24*'Input'!$F$58)</f>
        <v>0</v>
      </c>
      <c r="L72" s="6">
        <f>'Multi'!C580*L$11*'LAFs'!C$241*(1-'Contrib'!L$102)*100/(24*'Input'!$F$58)</f>
        <v>0</v>
      </c>
      <c r="M72" s="6">
        <f>'Multi'!D580*M$11*'LAFs'!D$241*(1-'Contrib'!M$102)*100/(24*'Input'!$F$58)</f>
        <v>0</v>
      </c>
      <c r="N72" s="6">
        <f>'Multi'!E580*N$11*'LAFs'!E$241*(1-'Contrib'!N$102)*100/(24*'Input'!$F$58)</f>
        <v>0</v>
      </c>
      <c r="O72" s="6">
        <f>'Multi'!F580*O$11*'LAFs'!F$241*(1-'Contrib'!O$102)*100/(24*'Input'!$F$58)</f>
        <v>0</v>
      </c>
      <c r="P72" s="6">
        <f>'Multi'!G580*P$11*'LAFs'!G$241*(1-'Contrib'!P$102)*100/(24*'Input'!$F$58)</f>
        <v>0</v>
      </c>
      <c r="Q72" s="6">
        <f>'Multi'!H580*Q$11*'LAFs'!H$241*(1-'Contrib'!Q$102)*100/(24*'Input'!$F$58)</f>
        <v>0</v>
      </c>
      <c r="R72" s="6">
        <f>'Multi'!I580*R$11*'LAFs'!I$241*(1-'Contrib'!R$102)*100/(24*'Input'!$F$58)</f>
        <v>0</v>
      </c>
      <c r="S72" s="6">
        <f>'Multi'!J580*S$11*'LAFs'!J$241*(1-'Contrib'!S$102)*100/(24*'Input'!$F$58)</f>
        <v>0</v>
      </c>
      <c r="T72" s="10"/>
    </row>
    <row r="73" spans="1:20">
      <c r="A73" s="11" t="s">
        <v>213</v>
      </c>
      <c r="B73" s="6">
        <f>'Multi'!B581*B$11*'LAFs'!B$242*(1-'Contrib'!B$103)*100/(24*'Input'!$F$58)</f>
        <v>0</v>
      </c>
      <c r="C73" s="6">
        <f>'Multi'!C581*C$11*'LAFs'!C$242*(1-'Contrib'!C$103)*100/(24*'Input'!$F$58)</f>
        <v>0</v>
      </c>
      <c r="D73" s="6">
        <f>'Multi'!D581*D$11*'LAFs'!D$242*(1-'Contrib'!D$103)*100/(24*'Input'!$F$58)</f>
        <v>0</v>
      </c>
      <c r="E73" s="6">
        <f>'Multi'!E581*E$11*'LAFs'!E$242*(1-'Contrib'!E$103)*100/(24*'Input'!$F$58)</f>
        <v>0</v>
      </c>
      <c r="F73" s="6">
        <f>'Multi'!F581*F$11*'LAFs'!F$242*(1-'Contrib'!F$103)*100/(24*'Input'!$F$58)</f>
        <v>0</v>
      </c>
      <c r="G73" s="6">
        <f>'Multi'!G581*G$11*'LAFs'!G$242*(1-'Contrib'!G$103)*100/(24*'Input'!$F$58)</f>
        <v>0</v>
      </c>
      <c r="H73" s="6">
        <f>'Multi'!H581*H$11*'LAFs'!H$242*(1-'Contrib'!H$103)*100/(24*'Input'!$F$58)</f>
        <v>0</v>
      </c>
      <c r="I73" s="6">
        <f>'Multi'!I581*I$11*'LAFs'!I$242*(1-'Contrib'!I$103)*100/(24*'Input'!$F$58)</f>
        <v>0</v>
      </c>
      <c r="J73" s="6">
        <f>'Multi'!J581*J$11*'LAFs'!J$242*(1-'Contrib'!J$103)*100/(24*'Input'!$F$58)</f>
        <v>0</v>
      </c>
      <c r="K73" s="6">
        <f>'Multi'!B581*K$11*'LAFs'!B$242*(1-'Contrib'!K$103)*100/(24*'Input'!$F$58)</f>
        <v>0</v>
      </c>
      <c r="L73" s="6">
        <f>'Multi'!C581*L$11*'LAFs'!C$242*(1-'Contrib'!L$103)*100/(24*'Input'!$F$58)</f>
        <v>0</v>
      </c>
      <c r="M73" s="6">
        <f>'Multi'!D581*M$11*'LAFs'!D$242*(1-'Contrib'!M$103)*100/(24*'Input'!$F$58)</f>
        <v>0</v>
      </c>
      <c r="N73" s="6">
        <f>'Multi'!E581*N$11*'LAFs'!E$242*(1-'Contrib'!N$103)*100/(24*'Input'!$F$58)</f>
        <v>0</v>
      </c>
      <c r="O73" s="6">
        <f>'Multi'!F581*O$11*'LAFs'!F$242*(1-'Contrib'!O$103)*100/(24*'Input'!$F$58)</f>
        <v>0</v>
      </c>
      <c r="P73" s="6">
        <f>'Multi'!G581*P$11*'LAFs'!G$242*(1-'Contrib'!P$103)*100/(24*'Input'!$F$58)</f>
        <v>0</v>
      </c>
      <c r="Q73" s="6">
        <f>'Multi'!H581*Q$11*'LAFs'!H$242*(1-'Contrib'!Q$103)*100/(24*'Input'!$F$58)</f>
        <v>0</v>
      </c>
      <c r="R73" s="6">
        <f>'Multi'!I581*R$11*'LAFs'!I$242*(1-'Contrib'!R$103)*100/(24*'Input'!$F$58)</f>
        <v>0</v>
      </c>
      <c r="S73" s="6">
        <f>'Multi'!J581*S$11*'LAFs'!J$242*(1-'Contrib'!S$103)*100/(24*'Input'!$F$58)</f>
        <v>0</v>
      </c>
      <c r="T73" s="10"/>
    </row>
    <row r="74" spans="1:20">
      <c r="A74" s="11" t="s">
        <v>214</v>
      </c>
      <c r="B74" s="6">
        <f>'Multi'!B582*B$11*'LAFs'!B$243*(1-'Contrib'!B$104)*100/(24*'Input'!$F$58)</f>
        <v>0</v>
      </c>
      <c r="C74" s="6">
        <f>'Multi'!C582*C$11*'LAFs'!C$243*(1-'Contrib'!C$104)*100/(24*'Input'!$F$58)</f>
        <v>0</v>
      </c>
      <c r="D74" s="6">
        <f>'Multi'!D582*D$11*'LAFs'!D$243*(1-'Contrib'!D$104)*100/(24*'Input'!$F$58)</f>
        <v>0</v>
      </c>
      <c r="E74" s="6">
        <f>'Multi'!E582*E$11*'LAFs'!E$243*(1-'Contrib'!E$104)*100/(24*'Input'!$F$58)</f>
        <v>0</v>
      </c>
      <c r="F74" s="6">
        <f>'Multi'!F582*F$11*'LAFs'!F$243*(1-'Contrib'!F$104)*100/(24*'Input'!$F$58)</f>
        <v>0</v>
      </c>
      <c r="G74" s="6">
        <f>'Multi'!G582*G$11*'LAFs'!G$243*(1-'Contrib'!G$104)*100/(24*'Input'!$F$58)</f>
        <v>0</v>
      </c>
      <c r="H74" s="6">
        <f>'Multi'!H582*H$11*'LAFs'!H$243*(1-'Contrib'!H$104)*100/(24*'Input'!$F$58)</f>
        <v>0</v>
      </c>
      <c r="I74" s="6">
        <f>'Multi'!I582*I$11*'LAFs'!I$243*(1-'Contrib'!I$104)*100/(24*'Input'!$F$58)</f>
        <v>0</v>
      </c>
      <c r="J74" s="6">
        <f>'Multi'!J582*J$11*'LAFs'!J$243*(1-'Contrib'!J$104)*100/(24*'Input'!$F$58)</f>
        <v>0</v>
      </c>
      <c r="K74" s="6">
        <f>'Multi'!B582*K$11*'LAFs'!B$243*(1-'Contrib'!K$104)*100/(24*'Input'!$F$58)</f>
        <v>0</v>
      </c>
      <c r="L74" s="6">
        <f>'Multi'!C582*L$11*'LAFs'!C$243*(1-'Contrib'!L$104)*100/(24*'Input'!$F$58)</f>
        <v>0</v>
      </c>
      <c r="M74" s="6">
        <f>'Multi'!D582*M$11*'LAFs'!D$243*(1-'Contrib'!M$104)*100/(24*'Input'!$F$58)</f>
        <v>0</v>
      </c>
      <c r="N74" s="6">
        <f>'Multi'!E582*N$11*'LAFs'!E$243*(1-'Contrib'!N$104)*100/(24*'Input'!$F$58)</f>
        <v>0</v>
      </c>
      <c r="O74" s="6">
        <f>'Multi'!F582*O$11*'LAFs'!F$243*(1-'Contrib'!O$104)*100/(24*'Input'!$F$58)</f>
        <v>0</v>
      </c>
      <c r="P74" s="6">
        <f>'Multi'!G582*P$11*'LAFs'!G$243*(1-'Contrib'!P$104)*100/(24*'Input'!$F$58)</f>
        <v>0</v>
      </c>
      <c r="Q74" s="6">
        <f>'Multi'!H582*Q$11*'LAFs'!H$243*(1-'Contrib'!Q$104)*100/(24*'Input'!$F$58)</f>
        <v>0</v>
      </c>
      <c r="R74" s="6">
        <f>'Multi'!I582*R$11*'LAFs'!I$243*(1-'Contrib'!R$104)*100/(24*'Input'!$F$58)</f>
        <v>0</v>
      </c>
      <c r="S74" s="6">
        <f>'Multi'!J582*S$11*'LAFs'!J$243*(1-'Contrib'!S$104)*100/(24*'Input'!$F$58)</f>
        <v>0</v>
      </c>
      <c r="T74" s="10"/>
    </row>
    <row r="75" spans="1:20">
      <c r="A75" s="11" t="s">
        <v>215</v>
      </c>
      <c r="B75" s="6">
        <f>'Multi'!B583*B$11*'LAFs'!B$244*(1-'Contrib'!B$105)*100/(24*'Input'!$F$58)</f>
        <v>0</v>
      </c>
      <c r="C75" s="6">
        <f>'Multi'!C583*C$11*'LAFs'!C$244*(1-'Contrib'!C$105)*100/(24*'Input'!$F$58)</f>
        <v>0</v>
      </c>
      <c r="D75" s="6">
        <f>'Multi'!D583*D$11*'LAFs'!D$244*(1-'Contrib'!D$105)*100/(24*'Input'!$F$58)</f>
        <v>0</v>
      </c>
      <c r="E75" s="6">
        <f>'Multi'!E583*E$11*'LAFs'!E$244*(1-'Contrib'!E$105)*100/(24*'Input'!$F$58)</f>
        <v>0</v>
      </c>
      <c r="F75" s="6">
        <f>'Multi'!F583*F$11*'LAFs'!F$244*(1-'Contrib'!F$105)*100/(24*'Input'!$F$58)</f>
        <v>0</v>
      </c>
      <c r="G75" s="6">
        <f>'Multi'!G583*G$11*'LAFs'!G$244*(1-'Contrib'!G$105)*100/(24*'Input'!$F$58)</f>
        <v>0</v>
      </c>
      <c r="H75" s="6">
        <f>'Multi'!H583*H$11*'LAFs'!H$244*(1-'Contrib'!H$105)*100/(24*'Input'!$F$58)</f>
        <v>0</v>
      </c>
      <c r="I75" s="6">
        <f>'Multi'!I583*I$11*'LAFs'!I$244*(1-'Contrib'!I$105)*100/(24*'Input'!$F$58)</f>
        <v>0</v>
      </c>
      <c r="J75" s="6">
        <f>'Multi'!J583*J$11*'LAFs'!J$244*(1-'Contrib'!J$105)*100/(24*'Input'!$F$58)</f>
        <v>0</v>
      </c>
      <c r="K75" s="6">
        <f>'Multi'!B583*K$11*'LAFs'!B$244*(1-'Contrib'!K$105)*100/(24*'Input'!$F$58)</f>
        <v>0</v>
      </c>
      <c r="L75" s="6">
        <f>'Multi'!C583*L$11*'LAFs'!C$244*(1-'Contrib'!L$105)*100/(24*'Input'!$F$58)</f>
        <v>0</v>
      </c>
      <c r="M75" s="6">
        <f>'Multi'!D583*M$11*'LAFs'!D$244*(1-'Contrib'!M$105)*100/(24*'Input'!$F$58)</f>
        <v>0</v>
      </c>
      <c r="N75" s="6">
        <f>'Multi'!E583*N$11*'LAFs'!E$244*(1-'Contrib'!N$105)*100/(24*'Input'!$F$58)</f>
        <v>0</v>
      </c>
      <c r="O75" s="6">
        <f>'Multi'!F583*O$11*'LAFs'!F$244*(1-'Contrib'!O$105)*100/(24*'Input'!$F$58)</f>
        <v>0</v>
      </c>
      <c r="P75" s="6">
        <f>'Multi'!G583*P$11*'LAFs'!G$244*(1-'Contrib'!P$105)*100/(24*'Input'!$F$58)</f>
        <v>0</v>
      </c>
      <c r="Q75" s="6">
        <f>'Multi'!H583*Q$11*'LAFs'!H$244*(1-'Contrib'!Q$105)*100/(24*'Input'!$F$58)</f>
        <v>0</v>
      </c>
      <c r="R75" s="6">
        <f>'Multi'!I583*R$11*'LAFs'!I$244*(1-'Contrib'!R$105)*100/(24*'Input'!$F$58)</f>
        <v>0</v>
      </c>
      <c r="S75" s="6">
        <f>'Multi'!J583*S$11*'LAFs'!J$244*(1-'Contrib'!S$105)*100/(24*'Input'!$F$58)</f>
        <v>0</v>
      </c>
      <c r="T75" s="10"/>
    </row>
    <row r="76" spans="1:20">
      <c r="A76" s="11" t="s">
        <v>216</v>
      </c>
      <c r="B76" s="6">
        <f>'Multi'!B584*B$11*'LAFs'!B$245*(1-'Contrib'!B$106)*100/(24*'Input'!$F$58)</f>
        <v>0</v>
      </c>
      <c r="C76" s="6">
        <f>'Multi'!C584*C$11*'LAFs'!C$245*(1-'Contrib'!C$106)*100/(24*'Input'!$F$58)</f>
        <v>0</v>
      </c>
      <c r="D76" s="6">
        <f>'Multi'!D584*D$11*'LAFs'!D$245*(1-'Contrib'!D$106)*100/(24*'Input'!$F$58)</f>
        <v>0</v>
      </c>
      <c r="E76" s="6">
        <f>'Multi'!E584*E$11*'LAFs'!E$245*(1-'Contrib'!E$106)*100/(24*'Input'!$F$58)</f>
        <v>0</v>
      </c>
      <c r="F76" s="6">
        <f>'Multi'!F584*F$11*'LAFs'!F$245*(1-'Contrib'!F$106)*100/(24*'Input'!$F$58)</f>
        <v>0</v>
      </c>
      <c r="G76" s="6">
        <f>'Multi'!G584*G$11*'LAFs'!G$245*(1-'Contrib'!G$106)*100/(24*'Input'!$F$58)</f>
        <v>0</v>
      </c>
      <c r="H76" s="6">
        <f>'Multi'!H584*H$11*'LAFs'!H$245*(1-'Contrib'!H$106)*100/(24*'Input'!$F$58)</f>
        <v>0</v>
      </c>
      <c r="I76" s="6">
        <f>'Multi'!I584*I$11*'LAFs'!I$245*(1-'Contrib'!I$106)*100/(24*'Input'!$F$58)</f>
        <v>0</v>
      </c>
      <c r="J76" s="6">
        <f>'Multi'!J584*J$11*'LAFs'!J$245*(1-'Contrib'!J$106)*100/(24*'Input'!$F$58)</f>
        <v>0</v>
      </c>
      <c r="K76" s="6">
        <f>'Multi'!B584*K$11*'LAFs'!B$245*(1-'Contrib'!K$106)*100/(24*'Input'!$F$58)</f>
        <v>0</v>
      </c>
      <c r="L76" s="6">
        <f>'Multi'!C584*L$11*'LAFs'!C$245*(1-'Contrib'!L$106)*100/(24*'Input'!$F$58)</f>
        <v>0</v>
      </c>
      <c r="M76" s="6">
        <f>'Multi'!D584*M$11*'LAFs'!D$245*(1-'Contrib'!M$106)*100/(24*'Input'!$F$58)</f>
        <v>0</v>
      </c>
      <c r="N76" s="6">
        <f>'Multi'!E584*N$11*'LAFs'!E$245*(1-'Contrib'!N$106)*100/(24*'Input'!$F$58)</f>
        <v>0</v>
      </c>
      <c r="O76" s="6">
        <f>'Multi'!F584*O$11*'LAFs'!F$245*(1-'Contrib'!O$106)*100/(24*'Input'!$F$58)</f>
        <v>0</v>
      </c>
      <c r="P76" s="6">
        <f>'Multi'!G584*P$11*'LAFs'!G$245*(1-'Contrib'!P$106)*100/(24*'Input'!$F$58)</f>
        <v>0</v>
      </c>
      <c r="Q76" s="6">
        <f>'Multi'!H584*Q$11*'LAFs'!H$245*(1-'Contrib'!Q$106)*100/(24*'Input'!$F$58)</f>
        <v>0</v>
      </c>
      <c r="R76" s="6">
        <f>'Multi'!I584*R$11*'LAFs'!I$245*(1-'Contrib'!R$106)*100/(24*'Input'!$F$58)</f>
        <v>0</v>
      </c>
      <c r="S76" s="6">
        <f>'Multi'!J584*S$11*'LAFs'!J$245*(1-'Contrib'!S$106)*100/(24*'Input'!$F$58)</f>
        <v>0</v>
      </c>
      <c r="T76" s="10"/>
    </row>
    <row r="78" spans="1:20">
      <c r="A78" s="1" t="s">
        <v>913</v>
      </c>
    </row>
    <row r="79" spans="1:20">
      <c r="A79" s="2" t="s">
        <v>349</v>
      </c>
    </row>
    <row r="80" spans="1:20">
      <c r="A80" s="12" t="s">
        <v>914</v>
      </c>
    </row>
    <row r="81" spans="1:20">
      <c r="A81" s="12" t="s">
        <v>911</v>
      </c>
    </row>
    <row r="82" spans="1:20">
      <c r="A82" s="12" t="s">
        <v>730</v>
      </c>
    </row>
    <row r="83" spans="1:20">
      <c r="A83" s="12" t="s">
        <v>907</v>
      </c>
    </row>
    <row r="84" spans="1:20">
      <c r="A84" s="12" t="s">
        <v>663</v>
      </c>
    </row>
    <row r="85" spans="1:20">
      <c r="A85" s="2" t="s">
        <v>912</v>
      </c>
    </row>
    <row r="87" spans="1:20">
      <c r="B87" s="3" t="s">
        <v>140</v>
      </c>
      <c r="C87" s="3" t="s">
        <v>304</v>
      </c>
      <c r="D87" s="3" t="s">
        <v>305</v>
      </c>
      <c r="E87" s="3" t="s">
        <v>306</v>
      </c>
      <c r="F87" s="3" t="s">
        <v>307</v>
      </c>
      <c r="G87" s="3" t="s">
        <v>308</v>
      </c>
      <c r="H87" s="3" t="s">
        <v>309</v>
      </c>
      <c r="I87" s="3" t="s">
        <v>310</v>
      </c>
      <c r="J87" s="3" t="s">
        <v>311</v>
      </c>
      <c r="K87" s="3" t="s">
        <v>292</v>
      </c>
      <c r="L87" s="3" t="s">
        <v>810</v>
      </c>
      <c r="M87" s="3" t="s">
        <v>811</v>
      </c>
      <c r="N87" s="3" t="s">
        <v>812</v>
      </c>
      <c r="O87" s="3" t="s">
        <v>813</v>
      </c>
      <c r="P87" s="3" t="s">
        <v>814</v>
      </c>
      <c r="Q87" s="3" t="s">
        <v>815</v>
      </c>
      <c r="R87" s="3" t="s">
        <v>816</v>
      </c>
      <c r="S87" s="3" t="s">
        <v>817</v>
      </c>
    </row>
    <row r="88" spans="1:20">
      <c r="A88" s="11" t="s">
        <v>173</v>
      </c>
      <c r="B88" s="6">
        <f>'Multi'!B593*B$11*'LAFs'!B$230*(1-'Contrib'!B$91)*100/(24*'Input'!$F$58)</f>
        <v>0</v>
      </c>
      <c r="C88" s="6">
        <f>'Multi'!C593*C$11*'LAFs'!C$230*(1-'Contrib'!C$91)*100/(24*'Input'!$F$58)</f>
        <v>0</v>
      </c>
      <c r="D88" s="6">
        <f>'Multi'!D593*D$11*'LAFs'!D$230*(1-'Contrib'!D$91)*100/(24*'Input'!$F$58)</f>
        <v>0</v>
      </c>
      <c r="E88" s="6">
        <f>'Multi'!E593*E$11*'LAFs'!E$230*(1-'Contrib'!E$91)*100/(24*'Input'!$F$58)</f>
        <v>0</v>
      </c>
      <c r="F88" s="6">
        <f>'Multi'!F593*F$11*'LAFs'!F$230*(1-'Contrib'!F$91)*100/(24*'Input'!$F$58)</f>
        <v>0</v>
      </c>
      <c r="G88" s="6">
        <f>'Multi'!G593*G$11*'LAFs'!G$230*(1-'Contrib'!G$91)*100/(24*'Input'!$F$58)</f>
        <v>0</v>
      </c>
      <c r="H88" s="6">
        <f>'Multi'!H593*H$11*'LAFs'!H$230*(1-'Contrib'!H$91)*100/(24*'Input'!$F$58)</f>
        <v>0</v>
      </c>
      <c r="I88" s="6">
        <f>'Multi'!I593*I$11*'LAFs'!I$230*(1-'Contrib'!I$91)*100/(24*'Input'!$F$58)</f>
        <v>0</v>
      </c>
      <c r="J88" s="6">
        <f>'Multi'!J593*J$11*'LAFs'!J$230*(1-'Contrib'!J$91)*100/(24*'Input'!$F$58)</f>
        <v>0</v>
      </c>
      <c r="K88" s="6">
        <f>'Multi'!B593*K$11*'LAFs'!B$230*(1-'Contrib'!K$91)*100/(24*'Input'!$F$58)</f>
        <v>0</v>
      </c>
      <c r="L88" s="6">
        <f>'Multi'!C593*L$11*'LAFs'!C$230*(1-'Contrib'!L$91)*100/(24*'Input'!$F$58)</f>
        <v>0</v>
      </c>
      <c r="M88" s="6">
        <f>'Multi'!D593*M$11*'LAFs'!D$230*(1-'Contrib'!M$91)*100/(24*'Input'!$F$58)</f>
        <v>0</v>
      </c>
      <c r="N88" s="6">
        <f>'Multi'!E593*N$11*'LAFs'!E$230*(1-'Contrib'!N$91)*100/(24*'Input'!$F$58)</f>
        <v>0</v>
      </c>
      <c r="O88" s="6">
        <f>'Multi'!F593*O$11*'LAFs'!F$230*(1-'Contrib'!O$91)*100/(24*'Input'!$F$58)</f>
        <v>0</v>
      </c>
      <c r="P88" s="6">
        <f>'Multi'!G593*P$11*'LAFs'!G$230*(1-'Contrib'!P$91)*100/(24*'Input'!$F$58)</f>
        <v>0</v>
      </c>
      <c r="Q88" s="6">
        <f>'Multi'!H593*Q$11*'LAFs'!H$230*(1-'Contrib'!Q$91)*100/(24*'Input'!$F$58)</f>
        <v>0</v>
      </c>
      <c r="R88" s="6">
        <f>'Multi'!I593*R$11*'LAFs'!I$230*(1-'Contrib'!R$91)*100/(24*'Input'!$F$58)</f>
        <v>0</v>
      </c>
      <c r="S88" s="6">
        <f>'Multi'!J593*S$11*'LAFs'!J$230*(1-'Contrib'!S$91)*100/(24*'Input'!$F$58)</f>
        <v>0</v>
      </c>
      <c r="T88" s="10"/>
    </row>
    <row r="89" spans="1:20">
      <c r="A89" s="11" t="s">
        <v>175</v>
      </c>
      <c r="B89" s="6">
        <f>'Multi'!B594*B$11*'LAFs'!B$233*(1-'Contrib'!B$94)*100/(24*'Input'!$F$58)</f>
        <v>0</v>
      </c>
      <c r="C89" s="6">
        <f>'Multi'!C594*C$11*'LAFs'!C$233*(1-'Contrib'!C$94)*100/(24*'Input'!$F$58)</f>
        <v>0</v>
      </c>
      <c r="D89" s="6">
        <f>'Multi'!D594*D$11*'LAFs'!D$233*(1-'Contrib'!D$94)*100/(24*'Input'!$F$58)</f>
        <v>0</v>
      </c>
      <c r="E89" s="6">
        <f>'Multi'!E594*E$11*'LAFs'!E$233*(1-'Contrib'!E$94)*100/(24*'Input'!$F$58)</f>
        <v>0</v>
      </c>
      <c r="F89" s="6">
        <f>'Multi'!F594*F$11*'LAFs'!F$233*(1-'Contrib'!F$94)*100/(24*'Input'!$F$58)</f>
        <v>0</v>
      </c>
      <c r="G89" s="6">
        <f>'Multi'!G594*G$11*'LAFs'!G$233*(1-'Contrib'!G$94)*100/(24*'Input'!$F$58)</f>
        <v>0</v>
      </c>
      <c r="H89" s="6">
        <f>'Multi'!H594*H$11*'LAFs'!H$233*(1-'Contrib'!H$94)*100/(24*'Input'!$F$58)</f>
        <v>0</v>
      </c>
      <c r="I89" s="6">
        <f>'Multi'!I594*I$11*'LAFs'!I$233*(1-'Contrib'!I$94)*100/(24*'Input'!$F$58)</f>
        <v>0</v>
      </c>
      <c r="J89" s="6">
        <f>'Multi'!J594*J$11*'LAFs'!J$233*(1-'Contrib'!J$94)*100/(24*'Input'!$F$58)</f>
        <v>0</v>
      </c>
      <c r="K89" s="6">
        <f>'Multi'!B594*K$11*'LAFs'!B$233*(1-'Contrib'!K$94)*100/(24*'Input'!$F$58)</f>
        <v>0</v>
      </c>
      <c r="L89" s="6">
        <f>'Multi'!C594*L$11*'LAFs'!C$233*(1-'Contrib'!L$94)*100/(24*'Input'!$F$58)</f>
        <v>0</v>
      </c>
      <c r="M89" s="6">
        <f>'Multi'!D594*M$11*'LAFs'!D$233*(1-'Contrib'!M$94)*100/(24*'Input'!$F$58)</f>
        <v>0</v>
      </c>
      <c r="N89" s="6">
        <f>'Multi'!E594*N$11*'LAFs'!E$233*(1-'Contrib'!N$94)*100/(24*'Input'!$F$58)</f>
        <v>0</v>
      </c>
      <c r="O89" s="6">
        <f>'Multi'!F594*O$11*'LAFs'!F$233*(1-'Contrib'!O$94)*100/(24*'Input'!$F$58)</f>
        <v>0</v>
      </c>
      <c r="P89" s="6">
        <f>'Multi'!G594*P$11*'LAFs'!G$233*(1-'Contrib'!P$94)*100/(24*'Input'!$F$58)</f>
        <v>0</v>
      </c>
      <c r="Q89" s="6">
        <f>'Multi'!H594*Q$11*'LAFs'!H$233*(1-'Contrib'!Q$94)*100/(24*'Input'!$F$58)</f>
        <v>0</v>
      </c>
      <c r="R89" s="6">
        <f>'Multi'!I594*R$11*'LAFs'!I$233*(1-'Contrib'!R$94)*100/(24*'Input'!$F$58)</f>
        <v>0</v>
      </c>
      <c r="S89" s="6">
        <f>'Multi'!J594*S$11*'LAFs'!J$233*(1-'Contrib'!S$94)*100/(24*'Input'!$F$58)</f>
        <v>0</v>
      </c>
      <c r="T89" s="10"/>
    </row>
    <row r="90" spans="1:20">
      <c r="A90" s="11" t="s">
        <v>176</v>
      </c>
      <c r="B90" s="6">
        <f>'Multi'!B595*B$11*'LAFs'!B$235*(1-'Contrib'!B$96)*100/(24*'Input'!$F$58)</f>
        <v>0</v>
      </c>
      <c r="C90" s="6">
        <f>'Multi'!C595*C$11*'LAFs'!C$235*(1-'Contrib'!C$96)*100/(24*'Input'!$F$58)</f>
        <v>0</v>
      </c>
      <c r="D90" s="6">
        <f>'Multi'!D595*D$11*'LAFs'!D$235*(1-'Contrib'!D$96)*100/(24*'Input'!$F$58)</f>
        <v>0</v>
      </c>
      <c r="E90" s="6">
        <f>'Multi'!E595*E$11*'LAFs'!E$235*(1-'Contrib'!E$96)*100/(24*'Input'!$F$58)</f>
        <v>0</v>
      </c>
      <c r="F90" s="6">
        <f>'Multi'!F595*F$11*'LAFs'!F$235*(1-'Contrib'!F$96)*100/(24*'Input'!$F$58)</f>
        <v>0</v>
      </c>
      <c r="G90" s="6">
        <f>'Multi'!G595*G$11*'LAFs'!G$235*(1-'Contrib'!G$96)*100/(24*'Input'!$F$58)</f>
        <v>0</v>
      </c>
      <c r="H90" s="6">
        <f>'Multi'!H595*H$11*'LAFs'!H$235*(1-'Contrib'!H$96)*100/(24*'Input'!$F$58)</f>
        <v>0</v>
      </c>
      <c r="I90" s="6">
        <f>'Multi'!I595*I$11*'LAFs'!I$235*(1-'Contrib'!I$96)*100/(24*'Input'!$F$58)</f>
        <v>0</v>
      </c>
      <c r="J90" s="6">
        <f>'Multi'!J595*J$11*'LAFs'!J$235*(1-'Contrib'!J$96)*100/(24*'Input'!$F$58)</f>
        <v>0</v>
      </c>
      <c r="K90" s="6">
        <f>'Multi'!B595*K$11*'LAFs'!B$235*(1-'Contrib'!K$96)*100/(24*'Input'!$F$58)</f>
        <v>0</v>
      </c>
      <c r="L90" s="6">
        <f>'Multi'!C595*L$11*'LAFs'!C$235*(1-'Contrib'!L$96)*100/(24*'Input'!$F$58)</f>
        <v>0</v>
      </c>
      <c r="M90" s="6">
        <f>'Multi'!D595*M$11*'LAFs'!D$235*(1-'Contrib'!M$96)*100/(24*'Input'!$F$58)</f>
        <v>0</v>
      </c>
      <c r="N90" s="6">
        <f>'Multi'!E595*N$11*'LAFs'!E$235*(1-'Contrib'!N$96)*100/(24*'Input'!$F$58)</f>
        <v>0</v>
      </c>
      <c r="O90" s="6">
        <f>'Multi'!F595*O$11*'LAFs'!F$235*(1-'Contrib'!O$96)*100/(24*'Input'!$F$58)</f>
        <v>0</v>
      </c>
      <c r="P90" s="6">
        <f>'Multi'!G595*P$11*'LAFs'!G$235*(1-'Contrib'!P$96)*100/(24*'Input'!$F$58)</f>
        <v>0</v>
      </c>
      <c r="Q90" s="6">
        <f>'Multi'!H595*Q$11*'LAFs'!H$235*(1-'Contrib'!Q$96)*100/(24*'Input'!$F$58)</f>
        <v>0</v>
      </c>
      <c r="R90" s="6">
        <f>'Multi'!I595*R$11*'LAFs'!I$235*(1-'Contrib'!R$96)*100/(24*'Input'!$F$58)</f>
        <v>0</v>
      </c>
      <c r="S90" s="6">
        <f>'Multi'!J595*S$11*'LAFs'!J$235*(1-'Contrib'!S$96)*100/(24*'Input'!$F$58)</f>
        <v>0</v>
      </c>
      <c r="T90" s="10"/>
    </row>
    <row r="91" spans="1:20">
      <c r="A91" s="11" t="s">
        <v>177</v>
      </c>
      <c r="B91" s="6">
        <f>'Multi'!B596*B$11*'LAFs'!B$236*(1-'Contrib'!B$97)*100/(24*'Input'!$F$58)</f>
        <v>0</v>
      </c>
      <c r="C91" s="6">
        <f>'Multi'!C596*C$11*'LAFs'!C$236*(1-'Contrib'!C$97)*100/(24*'Input'!$F$58)</f>
        <v>0</v>
      </c>
      <c r="D91" s="6">
        <f>'Multi'!D596*D$11*'LAFs'!D$236*(1-'Contrib'!D$97)*100/(24*'Input'!$F$58)</f>
        <v>0</v>
      </c>
      <c r="E91" s="6">
        <f>'Multi'!E596*E$11*'LAFs'!E$236*(1-'Contrib'!E$97)*100/(24*'Input'!$F$58)</f>
        <v>0</v>
      </c>
      <c r="F91" s="6">
        <f>'Multi'!F596*F$11*'LAFs'!F$236*(1-'Contrib'!F$97)*100/(24*'Input'!$F$58)</f>
        <v>0</v>
      </c>
      <c r="G91" s="6">
        <f>'Multi'!G596*G$11*'LAFs'!G$236*(1-'Contrib'!G$97)*100/(24*'Input'!$F$58)</f>
        <v>0</v>
      </c>
      <c r="H91" s="6">
        <f>'Multi'!H596*H$11*'LAFs'!H$236*(1-'Contrib'!H$97)*100/(24*'Input'!$F$58)</f>
        <v>0</v>
      </c>
      <c r="I91" s="6">
        <f>'Multi'!I596*I$11*'LAFs'!I$236*(1-'Contrib'!I$97)*100/(24*'Input'!$F$58)</f>
        <v>0</v>
      </c>
      <c r="J91" s="6">
        <f>'Multi'!J596*J$11*'LAFs'!J$236*(1-'Contrib'!J$97)*100/(24*'Input'!$F$58)</f>
        <v>0</v>
      </c>
      <c r="K91" s="6">
        <f>'Multi'!B596*K$11*'LAFs'!B$236*(1-'Contrib'!K$97)*100/(24*'Input'!$F$58)</f>
        <v>0</v>
      </c>
      <c r="L91" s="6">
        <f>'Multi'!C596*L$11*'LAFs'!C$236*(1-'Contrib'!L$97)*100/(24*'Input'!$F$58)</f>
        <v>0</v>
      </c>
      <c r="M91" s="6">
        <f>'Multi'!D596*M$11*'LAFs'!D$236*(1-'Contrib'!M$97)*100/(24*'Input'!$F$58)</f>
        <v>0</v>
      </c>
      <c r="N91" s="6">
        <f>'Multi'!E596*N$11*'LAFs'!E$236*(1-'Contrib'!N$97)*100/(24*'Input'!$F$58)</f>
        <v>0</v>
      </c>
      <c r="O91" s="6">
        <f>'Multi'!F596*O$11*'LAFs'!F$236*(1-'Contrib'!O$97)*100/(24*'Input'!$F$58)</f>
        <v>0</v>
      </c>
      <c r="P91" s="6">
        <f>'Multi'!G596*P$11*'LAFs'!G$236*(1-'Contrib'!P$97)*100/(24*'Input'!$F$58)</f>
        <v>0</v>
      </c>
      <c r="Q91" s="6">
        <f>'Multi'!H596*Q$11*'LAFs'!H$236*(1-'Contrib'!Q$97)*100/(24*'Input'!$F$58)</f>
        <v>0</v>
      </c>
      <c r="R91" s="6">
        <f>'Multi'!I596*R$11*'LAFs'!I$236*(1-'Contrib'!R$97)*100/(24*'Input'!$F$58)</f>
        <v>0</v>
      </c>
      <c r="S91" s="6">
        <f>'Multi'!J596*S$11*'LAFs'!J$236*(1-'Contrib'!S$97)*100/(24*'Input'!$F$58)</f>
        <v>0</v>
      </c>
      <c r="T91" s="10"/>
    </row>
    <row r="92" spans="1:20">
      <c r="A92" s="11" t="s">
        <v>191</v>
      </c>
      <c r="B92" s="6">
        <f>'Multi'!B597*B$11*'LAFs'!B$237*(1-'Contrib'!B$98)*100/(24*'Input'!$F$58)</f>
        <v>0</v>
      </c>
      <c r="C92" s="6">
        <f>'Multi'!C597*C$11*'LAFs'!C$237*(1-'Contrib'!C$98)*100/(24*'Input'!$F$58)</f>
        <v>0</v>
      </c>
      <c r="D92" s="6">
        <f>'Multi'!D597*D$11*'LAFs'!D$237*(1-'Contrib'!D$98)*100/(24*'Input'!$F$58)</f>
        <v>0</v>
      </c>
      <c r="E92" s="6">
        <f>'Multi'!E597*E$11*'LAFs'!E$237*(1-'Contrib'!E$98)*100/(24*'Input'!$F$58)</f>
        <v>0</v>
      </c>
      <c r="F92" s="6">
        <f>'Multi'!F597*F$11*'LAFs'!F$237*(1-'Contrib'!F$98)*100/(24*'Input'!$F$58)</f>
        <v>0</v>
      </c>
      <c r="G92" s="6">
        <f>'Multi'!G597*G$11*'LAFs'!G$237*(1-'Contrib'!G$98)*100/(24*'Input'!$F$58)</f>
        <v>0</v>
      </c>
      <c r="H92" s="6">
        <f>'Multi'!H597*H$11*'LAFs'!H$237*(1-'Contrib'!H$98)*100/(24*'Input'!$F$58)</f>
        <v>0</v>
      </c>
      <c r="I92" s="6">
        <f>'Multi'!I597*I$11*'LAFs'!I$237*(1-'Contrib'!I$98)*100/(24*'Input'!$F$58)</f>
        <v>0</v>
      </c>
      <c r="J92" s="6">
        <f>'Multi'!J597*J$11*'LAFs'!J$237*(1-'Contrib'!J$98)*100/(24*'Input'!$F$58)</f>
        <v>0</v>
      </c>
      <c r="K92" s="6">
        <f>'Multi'!B597*K$11*'LAFs'!B$237*(1-'Contrib'!K$98)*100/(24*'Input'!$F$58)</f>
        <v>0</v>
      </c>
      <c r="L92" s="6">
        <f>'Multi'!C597*L$11*'LAFs'!C$237*(1-'Contrib'!L$98)*100/(24*'Input'!$F$58)</f>
        <v>0</v>
      </c>
      <c r="M92" s="6">
        <f>'Multi'!D597*M$11*'LAFs'!D$237*(1-'Contrib'!M$98)*100/(24*'Input'!$F$58)</f>
        <v>0</v>
      </c>
      <c r="N92" s="6">
        <f>'Multi'!E597*N$11*'LAFs'!E$237*(1-'Contrib'!N$98)*100/(24*'Input'!$F$58)</f>
        <v>0</v>
      </c>
      <c r="O92" s="6">
        <f>'Multi'!F597*O$11*'LAFs'!F$237*(1-'Contrib'!O$98)*100/(24*'Input'!$F$58)</f>
        <v>0</v>
      </c>
      <c r="P92" s="6">
        <f>'Multi'!G597*P$11*'LAFs'!G$237*(1-'Contrib'!P$98)*100/(24*'Input'!$F$58)</f>
        <v>0</v>
      </c>
      <c r="Q92" s="6">
        <f>'Multi'!H597*Q$11*'LAFs'!H$237*(1-'Contrib'!Q$98)*100/(24*'Input'!$F$58)</f>
        <v>0</v>
      </c>
      <c r="R92" s="6">
        <f>'Multi'!I597*R$11*'LAFs'!I$237*(1-'Contrib'!R$98)*100/(24*'Input'!$F$58)</f>
        <v>0</v>
      </c>
      <c r="S92" s="6">
        <f>'Multi'!J597*S$11*'LAFs'!J$237*(1-'Contrib'!S$98)*100/(24*'Input'!$F$58)</f>
        <v>0</v>
      </c>
      <c r="T92" s="10"/>
    </row>
    <row r="93" spans="1:20">
      <c r="A93" s="11" t="s">
        <v>178</v>
      </c>
      <c r="B93" s="6">
        <f>'Multi'!B598*B$11*'LAFs'!B$238*(1-'Contrib'!B$99)*100/(24*'Input'!$F$58)</f>
        <v>0</v>
      </c>
      <c r="C93" s="6">
        <f>'Multi'!C598*C$11*'LAFs'!C$238*(1-'Contrib'!C$99)*100/(24*'Input'!$F$58)</f>
        <v>0</v>
      </c>
      <c r="D93" s="6">
        <f>'Multi'!D598*D$11*'LAFs'!D$238*(1-'Contrib'!D$99)*100/(24*'Input'!$F$58)</f>
        <v>0</v>
      </c>
      <c r="E93" s="6">
        <f>'Multi'!E598*E$11*'LAFs'!E$238*(1-'Contrib'!E$99)*100/(24*'Input'!$F$58)</f>
        <v>0</v>
      </c>
      <c r="F93" s="6">
        <f>'Multi'!F598*F$11*'LAFs'!F$238*(1-'Contrib'!F$99)*100/(24*'Input'!$F$58)</f>
        <v>0</v>
      </c>
      <c r="G93" s="6">
        <f>'Multi'!G598*G$11*'LAFs'!G$238*(1-'Contrib'!G$99)*100/(24*'Input'!$F$58)</f>
        <v>0</v>
      </c>
      <c r="H93" s="6">
        <f>'Multi'!H598*H$11*'LAFs'!H$238*(1-'Contrib'!H$99)*100/(24*'Input'!$F$58)</f>
        <v>0</v>
      </c>
      <c r="I93" s="6">
        <f>'Multi'!I598*I$11*'LAFs'!I$238*(1-'Contrib'!I$99)*100/(24*'Input'!$F$58)</f>
        <v>0</v>
      </c>
      <c r="J93" s="6">
        <f>'Multi'!J598*J$11*'LAFs'!J$238*(1-'Contrib'!J$99)*100/(24*'Input'!$F$58)</f>
        <v>0</v>
      </c>
      <c r="K93" s="6">
        <f>'Multi'!B598*K$11*'LAFs'!B$238*(1-'Contrib'!K$99)*100/(24*'Input'!$F$58)</f>
        <v>0</v>
      </c>
      <c r="L93" s="6">
        <f>'Multi'!C598*L$11*'LAFs'!C$238*(1-'Contrib'!L$99)*100/(24*'Input'!$F$58)</f>
        <v>0</v>
      </c>
      <c r="M93" s="6">
        <f>'Multi'!D598*M$11*'LAFs'!D$238*(1-'Contrib'!M$99)*100/(24*'Input'!$F$58)</f>
        <v>0</v>
      </c>
      <c r="N93" s="6">
        <f>'Multi'!E598*N$11*'LAFs'!E$238*(1-'Contrib'!N$99)*100/(24*'Input'!$F$58)</f>
        <v>0</v>
      </c>
      <c r="O93" s="6">
        <f>'Multi'!F598*O$11*'LAFs'!F$238*(1-'Contrib'!O$99)*100/(24*'Input'!$F$58)</f>
        <v>0</v>
      </c>
      <c r="P93" s="6">
        <f>'Multi'!G598*P$11*'LAFs'!G$238*(1-'Contrib'!P$99)*100/(24*'Input'!$F$58)</f>
        <v>0</v>
      </c>
      <c r="Q93" s="6">
        <f>'Multi'!H598*Q$11*'LAFs'!H$238*(1-'Contrib'!Q$99)*100/(24*'Input'!$F$58)</f>
        <v>0</v>
      </c>
      <c r="R93" s="6">
        <f>'Multi'!I598*R$11*'LAFs'!I$238*(1-'Contrib'!R$99)*100/(24*'Input'!$F$58)</f>
        <v>0</v>
      </c>
      <c r="S93" s="6">
        <f>'Multi'!J598*S$11*'LAFs'!J$238*(1-'Contrib'!S$99)*100/(24*'Input'!$F$58)</f>
        <v>0</v>
      </c>
      <c r="T93" s="10"/>
    </row>
    <row r="94" spans="1:20">
      <c r="A94" s="11" t="s">
        <v>179</v>
      </c>
      <c r="B94" s="6">
        <f>'Multi'!B599*B$11*'LAFs'!B$239*(1-'Contrib'!B$100)*100/(24*'Input'!$F$58)</f>
        <v>0</v>
      </c>
      <c r="C94" s="6">
        <f>'Multi'!C599*C$11*'LAFs'!C$239*(1-'Contrib'!C$100)*100/(24*'Input'!$F$58)</f>
        <v>0</v>
      </c>
      <c r="D94" s="6">
        <f>'Multi'!D599*D$11*'LAFs'!D$239*(1-'Contrib'!D$100)*100/(24*'Input'!$F$58)</f>
        <v>0</v>
      </c>
      <c r="E94" s="6">
        <f>'Multi'!E599*E$11*'LAFs'!E$239*(1-'Contrib'!E$100)*100/(24*'Input'!$F$58)</f>
        <v>0</v>
      </c>
      <c r="F94" s="6">
        <f>'Multi'!F599*F$11*'LAFs'!F$239*(1-'Contrib'!F$100)*100/(24*'Input'!$F$58)</f>
        <v>0</v>
      </c>
      <c r="G94" s="6">
        <f>'Multi'!G599*G$11*'LAFs'!G$239*(1-'Contrib'!G$100)*100/(24*'Input'!$F$58)</f>
        <v>0</v>
      </c>
      <c r="H94" s="6">
        <f>'Multi'!H599*H$11*'LAFs'!H$239*(1-'Contrib'!H$100)*100/(24*'Input'!$F$58)</f>
        <v>0</v>
      </c>
      <c r="I94" s="6">
        <f>'Multi'!I599*I$11*'LAFs'!I$239*(1-'Contrib'!I$100)*100/(24*'Input'!$F$58)</f>
        <v>0</v>
      </c>
      <c r="J94" s="6">
        <f>'Multi'!J599*J$11*'LAFs'!J$239*(1-'Contrib'!J$100)*100/(24*'Input'!$F$58)</f>
        <v>0</v>
      </c>
      <c r="K94" s="6">
        <f>'Multi'!B599*K$11*'LAFs'!B$239*(1-'Contrib'!K$100)*100/(24*'Input'!$F$58)</f>
        <v>0</v>
      </c>
      <c r="L94" s="6">
        <f>'Multi'!C599*L$11*'LAFs'!C$239*(1-'Contrib'!L$100)*100/(24*'Input'!$F$58)</f>
        <v>0</v>
      </c>
      <c r="M94" s="6">
        <f>'Multi'!D599*M$11*'LAFs'!D$239*(1-'Contrib'!M$100)*100/(24*'Input'!$F$58)</f>
        <v>0</v>
      </c>
      <c r="N94" s="6">
        <f>'Multi'!E599*N$11*'LAFs'!E$239*(1-'Contrib'!N$100)*100/(24*'Input'!$F$58)</f>
        <v>0</v>
      </c>
      <c r="O94" s="6">
        <f>'Multi'!F599*O$11*'LAFs'!F$239*(1-'Contrib'!O$100)*100/(24*'Input'!$F$58)</f>
        <v>0</v>
      </c>
      <c r="P94" s="6">
        <f>'Multi'!G599*P$11*'LAFs'!G$239*(1-'Contrib'!P$100)*100/(24*'Input'!$F$58)</f>
        <v>0</v>
      </c>
      <c r="Q94" s="6">
        <f>'Multi'!H599*Q$11*'LAFs'!H$239*(1-'Contrib'!Q$100)*100/(24*'Input'!$F$58)</f>
        <v>0</v>
      </c>
      <c r="R94" s="6">
        <f>'Multi'!I599*R$11*'LAFs'!I$239*(1-'Contrib'!R$100)*100/(24*'Input'!$F$58)</f>
        <v>0</v>
      </c>
      <c r="S94" s="6">
        <f>'Multi'!J599*S$11*'LAFs'!J$239*(1-'Contrib'!S$100)*100/(24*'Input'!$F$58)</f>
        <v>0</v>
      </c>
      <c r="T94" s="10"/>
    </row>
    <row r="95" spans="1:20">
      <c r="A95" s="11" t="s">
        <v>192</v>
      </c>
      <c r="B95" s="6">
        <f>'Multi'!B600*B$11*'LAFs'!B$240*(1-'Contrib'!B$101)*100/(24*'Input'!$F$58)</f>
        <v>0</v>
      </c>
      <c r="C95" s="6">
        <f>'Multi'!C600*C$11*'LAFs'!C$240*(1-'Contrib'!C$101)*100/(24*'Input'!$F$58)</f>
        <v>0</v>
      </c>
      <c r="D95" s="6">
        <f>'Multi'!D600*D$11*'LAFs'!D$240*(1-'Contrib'!D$101)*100/(24*'Input'!$F$58)</f>
        <v>0</v>
      </c>
      <c r="E95" s="6">
        <f>'Multi'!E600*E$11*'LAFs'!E$240*(1-'Contrib'!E$101)*100/(24*'Input'!$F$58)</f>
        <v>0</v>
      </c>
      <c r="F95" s="6">
        <f>'Multi'!F600*F$11*'LAFs'!F$240*(1-'Contrib'!F$101)*100/(24*'Input'!$F$58)</f>
        <v>0</v>
      </c>
      <c r="G95" s="6">
        <f>'Multi'!G600*G$11*'LAFs'!G$240*(1-'Contrib'!G$101)*100/(24*'Input'!$F$58)</f>
        <v>0</v>
      </c>
      <c r="H95" s="6">
        <f>'Multi'!H600*H$11*'LAFs'!H$240*(1-'Contrib'!H$101)*100/(24*'Input'!$F$58)</f>
        <v>0</v>
      </c>
      <c r="I95" s="6">
        <f>'Multi'!I600*I$11*'LAFs'!I$240*(1-'Contrib'!I$101)*100/(24*'Input'!$F$58)</f>
        <v>0</v>
      </c>
      <c r="J95" s="6">
        <f>'Multi'!J600*J$11*'LAFs'!J$240*(1-'Contrib'!J$101)*100/(24*'Input'!$F$58)</f>
        <v>0</v>
      </c>
      <c r="K95" s="6">
        <f>'Multi'!B600*K$11*'LAFs'!B$240*(1-'Contrib'!K$101)*100/(24*'Input'!$F$58)</f>
        <v>0</v>
      </c>
      <c r="L95" s="6">
        <f>'Multi'!C600*L$11*'LAFs'!C$240*(1-'Contrib'!L$101)*100/(24*'Input'!$F$58)</f>
        <v>0</v>
      </c>
      <c r="M95" s="6">
        <f>'Multi'!D600*M$11*'LAFs'!D$240*(1-'Contrib'!M$101)*100/(24*'Input'!$F$58)</f>
        <v>0</v>
      </c>
      <c r="N95" s="6">
        <f>'Multi'!E600*N$11*'LAFs'!E$240*(1-'Contrib'!N$101)*100/(24*'Input'!$F$58)</f>
        <v>0</v>
      </c>
      <c r="O95" s="6">
        <f>'Multi'!F600*O$11*'LAFs'!F$240*(1-'Contrib'!O$101)*100/(24*'Input'!$F$58)</f>
        <v>0</v>
      </c>
      <c r="P95" s="6">
        <f>'Multi'!G600*P$11*'LAFs'!G$240*(1-'Contrib'!P$101)*100/(24*'Input'!$F$58)</f>
        <v>0</v>
      </c>
      <c r="Q95" s="6">
        <f>'Multi'!H600*Q$11*'LAFs'!H$240*(1-'Contrib'!Q$101)*100/(24*'Input'!$F$58)</f>
        <v>0</v>
      </c>
      <c r="R95" s="6">
        <f>'Multi'!I600*R$11*'LAFs'!I$240*(1-'Contrib'!R$101)*100/(24*'Input'!$F$58)</f>
        <v>0</v>
      </c>
      <c r="S95" s="6">
        <f>'Multi'!J600*S$11*'LAFs'!J$240*(1-'Contrib'!S$101)*100/(24*'Input'!$F$58)</f>
        <v>0</v>
      </c>
      <c r="T95" s="10"/>
    </row>
    <row r="96" spans="1:20">
      <c r="A96" s="11" t="s">
        <v>183</v>
      </c>
      <c r="B96" s="6">
        <f>'Multi'!B601*B$11*'LAFs'!B$249*(1-'Contrib'!B$110)*100/(24*'Input'!$F$58)</f>
        <v>0</v>
      </c>
      <c r="C96" s="6">
        <f>'Multi'!C601*C$11*'LAFs'!C$249*(1-'Contrib'!C$110)*100/(24*'Input'!$F$58)</f>
        <v>0</v>
      </c>
      <c r="D96" s="6">
        <f>'Multi'!D601*D$11*'LAFs'!D$249*(1-'Contrib'!D$110)*100/(24*'Input'!$F$58)</f>
        <v>0</v>
      </c>
      <c r="E96" s="6">
        <f>'Multi'!E601*E$11*'LAFs'!E$249*(1-'Contrib'!E$110)*100/(24*'Input'!$F$58)</f>
        <v>0</v>
      </c>
      <c r="F96" s="6">
        <f>'Multi'!F601*F$11*'LAFs'!F$249*(1-'Contrib'!F$110)*100/(24*'Input'!$F$58)</f>
        <v>0</v>
      </c>
      <c r="G96" s="6">
        <f>'Multi'!G601*G$11*'LAFs'!G$249*(1-'Contrib'!G$110)*100/(24*'Input'!$F$58)</f>
        <v>0</v>
      </c>
      <c r="H96" s="6">
        <f>'Multi'!H601*H$11*'LAFs'!H$249*(1-'Contrib'!H$110)*100/(24*'Input'!$F$58)</f>
        <v>0</v>
      </c>
      <c r="I96" s="6">
        <f>'Multi'!I601*I$11*'LAFs'!I$249*(1-'Contrib'!I$110)*100/(24*'Input'!$F$58)</f>
        <v>0</v>
      </c>
      <c r="J96" s="6">
        <f>'Multi'!J601*J$11*'LAFs'!J$249*(1-'Contrib'!J$110)*100/(24*'Input'!$F$58)</f>
        <v>0</v>
      </c>
      <c r="K96" s="6">
        <f>'Multi'!B601*K$11*'LAFs'!B$249*(1-'Contrib'!K$110)*100/(24*'Input'!$F$58)</f>
        <v>0</v>
      </c>
      <c r="L96" s="6">
        <f>'Multi'!C601*L$11*'LAFs'!C$249*(1-'Contrib'!L$110)*100/(24*'Input'!$F$58)</f>
        <v>0</v>
      </c>
      <c r="M96" s="6">
        <f>'Multi'!D601*M$11*'LAFs'!D$249*(1-'Contrib'!M$110)*100/(24*'Input'!$F$58)</f>
        <v>0</v>
      </c>
      <c r="N96" s="6">
        <f>'Multi'!E601*N$11*'LAFs'!E$249*(1-'Contrib'!N$110)*100/(24*'Input'!$F$58)</f>
        <v>0</v>
      </c>
      <c r="O96" s="6">
        <f>'Multi'!F601*O$11*'LAFs'!F$249*(1-'Contrib'!O$110)*100/(24*'Input'!$F$58)</f>
        <v>0</v>
      </c>
      <c r="P96" s="6">
        <f>'Multi'!G601*P$11*'LAFs'!G$249*(1-'Contrib'!P$110)*100/(24*'Input'!$F$58)</f>
        <v>0</v>
      </c>
      <c r="Q96" s="6">
        <f>'Multi'!H601*Q$11*'LAFs'!H$249*(1-'Contrib'!Q$110)*100/(24*'Input'!$F$58)</f>
        <v>0</v>
      </c>
      <c r="R96" s="6">
        <f>'Multi'!I601*R$11*'LAFs'!I$249*(1-'Contrib'!R$110)*100/(24*'Input'!$F$58)</f>
        <v>0</v>
      </c>
      <c r="S96" s="6">
        <f>'Multi'!J601*S$11*'LAFs'!J$249*(1-'Contrib'!S$110)*100/(24*'Input'!$F$58)</f>
        <v>0</v>
      </c>
      <c r="T96" s="10"/>
    </row>
    <row r="97" spans="1:20">
      <c r="A97" s="11" t="s">
        <v>185</v>
      </c>
      <c r="B97" s="6">
        <f>'Multi'!B602*B$11*'LAFs'!B$251*(1-'Contrib'!B$112)*100/(24*'Input'!$F$58)</f>
        <v>0</v>
      </c>
      <c r="C97" s="6">
        <f>'Multi'!C602*C$11*'LAFs'!C$251*(1-'Contrib'!C$112)*100/(24*'Input'!$F$58)</f>
        <v>0</v>
      </c>
      <c r="D97" s="6">
        <f>'Multi'!D602*D$11*'LAFs'!D$251*(1-'Contrib'!D$112)*100/(24*'Input'!$F$58)</f>
        <v>0</v>
      </c>
      <c r="E97" s="6">
        <f>'Multi'!E602*E$11*'LAFs'!E$251*(1-'Contrib'!E$112)*100/(24*'Input'!$F$58)</f>
        <v>0</v>
      </c>
      <c r="F97" s="6">
        <f>'Multi'!F602*F$11*'LAFs'!F$251*(1-'Contrib'!F$112)*100/(24*'Input'!$F$58)</f>
        <v>0</v>
      </c>
      <c r="G97" s="6">
        <f>'Multi'!G602*G$11*'LAFs'!G$251*(1-'Contrib'!G$112)*100/(24*'Input'!$F$58)</f>
        <v>0</v>
      </c>
      <c r="H97" s="6">
        <f>'Multi'!H602*H$11*'LAFs'!H$251*(1-'Contrib'!H$112)*100/(24*'Input'!$F$58)</f>
        <v>0</v>
      </c>
      <c r="I97" s="6">
        <f>'Multi'!I602*I$11*'LAFs'!I$251*(1-'Contrib'!I$112)*100/(24*'Input'!$F$58)</f>
        <v>0</v>
      </c>
      <c r="J97" s="6">
        <f>'Multi'!J602*J$11*'LAFs'!J$251*(1-'Contrib'!J$112)*100/(24*'Input'!$F$58)</f>
        <v>0</v>
      </c>
      <c r="K97" s="6">
        <f>'Multi'!B602*K$11*'LAFs'!B$251*(1-'Contrib'!K$112)*100/(24*'Input'!$F$58)</f>
        <v>0</v>
      </c>
      <c r="L97" s="6">
        <f>'Multi'!C602*L$11*'LAFs'!C$251*(1-'Contrib'!L$112)*100/(24*'Input'!$F$58)</f>
        <v>0</v>
      </c>
      <c r="M97" s="6">
        <f>'Multi'!D602*M$11*'LAFs'!D$251*(1-'Contrib'!M$112)*100/(24*'Input'!$F$58)</f>
        <v>0</v>
      </c>
      <c r="N97" s="6">
        <f>'Multi'!E602*N$11*'LAFs'!E$251*(1-'Contrib'!N$112)*100/(24*'Input'!$F$58)</f>
        <v>0</v>
      </c>
      <c r="O97" s="6">
        <f>'Multi'!F602*O$11*'LAFs'!F$251*(1-'Contrib'!O$112)*100/(24*'Input'!$F$58)</f>
        <v>0</v>
      </c>
      <c r="P97" s="6">
        <f>'Multi'!G602*P$11*'LAFs'!G$251*(1-'Contrib'!P$112)*100/(24*'Input'!$F$58)</f>
        <v>0</v>
      </c>
      <c r="Q97" s="6">
        <f>'Multi'!H602*Q$11*'LAFs'!H$251*(1-'Contrib'!Q$112)*100/(24*'Input'!$F$58)</f>
        <v>0</v>
      </c>
      <c r="R97" s="6">
        <f>'Multi'!I602*R$11*'LAFs'!I$251*(1-'Contrib'!R$112)*100/(24*'Input'!$F$58)</f>
        <v>0</v>
      </c>
      <c r="S97" s="6">
        <f>'Multi'!J602*S$11*'LAFs'!J$251*(1-'Contrib'!S$112)*100/(24*'Input'!$F$58)</f>
        <v>0</v>
      </c>
      <c r="T97" s="10"/>
    </row>
    <row r="98" spans="1:20">
      <c r="A98" s="11" t="s">
        <v>194</v>
      </c>
      <c r="B98" s="6">
        <f>'Multi'!B603*B$11*'LAFs'!B$253*(1-'Contrib'!B$114)*100/(24*'Input'!$F$58)</f>
        <v>0</v>
      </c>
      <c r="C98" s="6">
        <f>'Multi'!C603*C$11*'LAFs'!C$253*(1-'Contrib'!C$114)*100/(24*'Input'!$F$58)</f>
        <v>0</v>
      </c>
      <c r="D98" s="6">
        <f>'Multi'!D603*D$11*'LAFs'!D$253*(1-'Contrib'!D$114)*100/(24*'Input'!$F$58)</f>
        <v>0</v>
      </c>
      <c r="E98" s="6">
        <f>'Multi'!E603*E$11*'LAFs'!E$253*(1-'Contrib'!E$114)*100/(24*'Input'!$F$58)</f>
        <v>0</v>
      </c>
      <c r="F98" s="6">
        <f>'Multi'!F603*F$11*'LAFs'!F$253*(1-'Contrib'!F$114)*100/(24*'Input'!$F$58)</f>
        <v>0</v>
      </c>
      <c r="G98" s="6">
        <f>'Multi'!G603*G$11*'LAFs'!G$253*(1-'Contrib'!G$114)*100/(24*'Input'!$F$58)</f>
        <v>0</v>
      </c>
      <c r="H98" s="6">
        <f>'Multi'!H603*H$11*'LAFs'!H$253*(1-'Contrib'!H$114)*100/(24*'Input'!$F$58)</f>
        <v>0</v>
      </c>
      <c r="I98" s="6">
        <f>'Multi'!I603*I$11*'LAFs'!I$253*(1-'Contrib'!I$114)*100/(24*'Input'!$F$58)</f>
        <v>0</v>
      </c>
      <c r="J98" s="6">
        <f>'Multi'!J603*J$11*'LAFs'!J$253*(1-'Contrib'!J$114)*100/(24*'Input'!$F$58)</f>
        <v>0</v>
      </c>
      <c r="K98" s="6">
        <f>'Multi'!B603*K$11*'LAFs'!B$253*(1-'Contrib'!K$114)*100/(24*'Input'!$F$58)</f>
        <v>0</v>
      </c>
      <c r="L98" s="6">
        <f>'Multi'!C603*L$11*'LAFs'!C$253*(1-'Contrib'!L$114)*100/(24*'Input'!$F$58)</f>
        <v>0</v>
      </c>
      <c r="M98" s="6">
        <f>'Multi'!D603*M$11*'LAFs'!D$253*(1-'Contrib'!M$114)*100/(24*'Input'!$F$58)</f>
        <v>0</v>
      </c>
      <c r="N98" s="6">
        <f>'Multi'!E603*N$11*'LAFs'!E$253*(1-'Contrib'!N$114)*100/(24*'Input'!$F$58)</f>
        <v>0</v>
      </c>
      <c r="O98" s="6">
        <f>'Multi'!F603*O$11*'LAFs'!F$253*(1-'Contrib'!O$114)*100/(24*'Input'!$F$58)</f>
        <v>0</v>
      </c>
      <c r="P98" s="6">
        <f>'Multi'!G603*P$11*'LAFs'!G$253*(1-'Contrib'!P$114)*100/(24*'Input'!$F$58)</f>
        <v>0</v>
      </c>
      <c r="Q98" s="6">
        <f>'Multi'!H603*Q$11*'LAFs'!H$253*(1-'Contrib'!Q$114)*100/(24*'Input'!$F$58)</f>
        <v>0</v>
      </c>
      <c r="R98" s="6">
        <f>'Multi'!I603*R$11*'LAFs'!I$253*(1-'Contrib'!R$114)*100/(24*'Input'!$F$58)</f>
        <v>0</v>
      </c>
      <c r="S98" s="6">
        <f>'Multi'!J603*S$11*'LAFs'!J$253*(1-'Contrib'!S$114)*100/(24*'Input'!$F$58)</f>
        <v>0</v>
      </c>
      <c r="T98" s="10"/>
    </row>
    <row r="99" spans="1:20">
      <c r="A99" s="11" t="s">
        <v>216</v>
      </c>
      <c r="B99" s="6">
        <f>'Multi'!B604*B$11*'LAFs'!B$245*(1-'Contrib'!B$106)*100/(24*'Input'!$F$58)</f>
        <v>0</v>
      </c>
      <c r="C99" s="6">
        <f>'Multi'!C604*C$11*'LAFs'!C$245*(1-'Contrib'!C$106)*100/(24*'Input'!$F$58)</f>
        <v>0</v>
      </c>
      <c r="D99" s="6">
        <f>'Multi'!D604*D$11*'LAFs'!D$245*(1-'Contrib'!D$106)*100/(24*'Input'!$F$58)</f>
        <v>0</v>
      </c>
      <c r="E99" s="6">
        <f>'Multi'!E604*E$11*'LAFs'!E$245*(1-'Contrib'!E$106)*100/(24*'Input'!$F$58)</f>
        <v>0</v>
      </c>
      <c r="F99" s="6">
        <f>'Multi'!F604*F$11*'LAFs'!F$245*(1-'Contrib'!F$106)*100/(24*'Input'!$F$58)</f>
        <v>0</v>
      </c>
      <c r="G99" s="6">
        <f>'Multi'!G604*G$11*'LAFs'!G$245*(1-'Contrib'!G$106)*100/(24*'Input'!$F$58)</f>
        <v>0</v>
      </c>
      <c r="H99" s="6">
        <f>'Multi'!H604*H$11*'LAFs'!H$245*(1-'Contrib'!H$106)*100/(24*'Input'!$F$58)</f>
        <v>0</v>
      </c>
      <c r="I99" s="6">
        <f>'Multi'!I604*I$11*'LAFs'!I$245*(1-'Contrib'!I$106)*100/(24*'Input'!$F$58)</f>
        <v>0</v>
      </c>
      <c r="J99" s="6">
        <f>'Multi'!J604*J$11*'LAFs'!J$245*(1-'Contrib'!J$106)*100/(24*'Input'!$F$58)</f>
        <v>0</v>
      </c>
      <c r="K99" s="6">
        <f>'Multi'!B604*K$11*'LAFs'!B$245*(1-'Contrib'!K$106)*100/(24*'Input'!$F$58)</f>
        <v>0</v>
      </c>
      <c r="L99" s="6">
        <f>'Multi'!C604*L$11*'LAFs'!C$245*(1-'Contrib'!L$106)*100/(24*'Input'!$F$58)</f>
        <v>0</v>
      </c>
      <c r="M99" s="6">
        <f>'Multi'!D604*M$11*'LAFs'!D$245*(1-'Contrib'!M$106)*100/(24*'Input'!$F$58)</f>
        <v>0</v>
      </c>
      <c r="N99" s="6">
        <f>'Multi'!E604*N$11*'LAFs'!E$245*(1-'Contrib'!N$106)*100/(24*'Input'!$F$58)</f>
        <v>0</v>
      </c>
      <c r="O99" s="6">
        <f>'Multi'!F604*O$11*'LAFs'!F$245*(1-'Contrib'!O$106)*100/(24*'Input'!$F$58)</f>
        <v>0</v>
      </c>
      <c r="P99" s="6">
        <f>'Multi'!G604*P$11*'LAFs'!G$245*(1-'Contrib'!P$106)*100/(24*'Input'!$F$58)</f>
        <v>0</v>
      </c>
      <c r="Q99" s="6">
        <f>'Multi'!H604*Q$11*'LAFs'!H$245*(1-'Contrib'!Q$106)*100/(24*'Input'!$F$58)</f>
        <v>0</v>
      </c>
      <c r="R99" s="6">
        <f>'Multi'!I604*R$11*'LAFs'!I$245*(1-'Contrib'!R$106)*100/(24*'Input'!$F$58)</f>
        <v>0</v>
      </c>
      <c r="S99" s="6">
        <f>'Multi'!J604*S$11*'LAFs'!J$245*(1-'Contrib'!S$106)*100/(24*'Input'!$F$58)</f>
        <v>0</v>
      </c>
      <c r="T99" s="10"/>
    </row>
    <row r="101" spans="1:20">
      <c r="A101" s="1" t="s">
        <v>915</v>
      </c>
    </row>
    <row r="102" spans="1:20">
      <c r="A102" s="2" t="s">
        <v>349</v>
      </c>
    </row>
    <row r="103" spans="1:20">
      <c r="A103" s="12" t="s">
        <v>916</v>
      </c>
    </row>
    <row r="104" spans="1:20">
      <c r="A104" s="12" t="s">
        <v>911</v>
      </c>
    </row>
    <row r="105" spans="1:20">
      <c r="A105" s="12" t="s">
        <v>730</v>
      </c>
    </row>
    <row r="106" spans="1:20">
      <c r="A106" s="12" t="s">
        <v>907</v>
      </c>
    </row>
    <row r="107" spans="1:20">
      <c r="A107" s="12" t="s">
        <v>663</v>
      </c>
    </row>
    <row r="108" spans="1:20">
      <c r="A108" s="2" t="s">
        <v>912</v>
      </c>
    </row>
    <row r="110" spans="1:20">
      <c r="B110" s="3" t="s">
        <v>140</v>
      </c>
      <c r="C110" s="3" t="s">
        <v>304</v>
      </c>
      <c r="D110" s="3" t="s">
        <v>305</v>
      </c>
      <c r="E110" s="3" t="s">
        <v>306</v>
      </c>
      <c r="F110" s="3" t="s">
        <v>307</v>
      </c>
      <c r="G110" s="3" t="s">
        <v>308</v>
      </c>
      <c r="H110" s="3" t="s">
        <v>309</v>
      </c>
      <c r="I110" s="3" t="s">
        <v>310</v>
      </c>
      <c r="J110" s="3" t="s">
        <v>311</v>
      </c>
      <c r="K110" s="3" t="s">
        <v>292</v>
      </c>
      <c r="L110" s="3" t="s">
        <v>810</v>
      </c>
      <c r="M110" s="3" t="s">
        <v>811</v>
      </c>
      <c r="N110" s="3" t="s">
        <v>812</v>
      </c>
      <c r="O110" s="3" t="s">
        <v>813</v>
      </c>
      <c r="P110" s="3" t="s">
        <v>814</v>
      </c>
      <c r="Q110" s="3" t="s">
        <v>815</v>
      </c>
      <c r="R110" s="3" t="s">
        <v>816</v>
      </c>
      <c r="S110" s="3" t="s">
        <v>817</v>
      </c>
    </row>
    <row r="111" spans="1:20">
      <c r="A111" s="11" t="s">
        <v>178</v>
      </c>
      <c r="B111" s="6">
        <f>'Multi'!B613*B$11*'LAFs'!B$238*(1-'Contrib'!B$99)*100/(24*'Input'!$F$58)</f>
        <v>0</v>
      </c>
      <c r="C111" s="6">
        <f>'Multi'!C613*C$11*'LAFs'!C$238*(1-'Contrib'!C$99)*100/(24*'Input'!$F$58)</f>
        <v>0</v>
      </c>
      <c r="D111" s="6">
        <f>'Multi'!D613*D$11*'LAFs'!D$238*(1-'Contrib'!D$99)*100/(24*'Input'!$F$58)</f>
        <v>0</v>
      </c>
      <c r="E111" s="6">
        <f>'Multi'!E613*E$11*'LAFs'!E$238*(1-'Contrib'!E$99)*100/(24*'Input'!$F$58)</f>
        <v>0</v>
      </c>
      <c r="F111" s="6">
        <f>'Multi'!F613*F$11*'LAFs'!F$238*(1-'Contrib'!F$99)*100/(24*'Input'!$F$58)</f>
        <v>0</v>
      </c>
      <c r="G111" s="6">
        <f>'Multi'!G613*G$11*'LAFs'!G$238*(1-'Contrib'!G$99)*100/(24*'Input'!$F$58)</f>
        <v>0</v>
      </c>
      <c r="H111" s="6">
        <f>'Multi'!H613*H$11*'LAFs'!H$238*(1-'Contrib'!H$99)*100/(24*'Input'!$F$58)</f>
        <v>0</v>
      </c>
      <c r="I111" s="6">
        <f>'Multi'!I613*I$11*'LAFs'!I$238*(1-'Contrib'!I$99)*100/(24*'Input'!$F$58)</f>
        <v>0</v>
      </c>
      <c r="J111" s="6">
        <f>'Multi'!J613*J$11*'LAFs'!J$238*(1-'Contrib'!J$99)*100/(24*'Input'!$F$58)</f>
        <v>0</v>
      </c>
      <c r="K111" s="6">
        <f>'Multi'!B613*K$11*'LAFs'!B$238*(1-'Contrib'!K$99)*100/(24*'Input'!$F$58)</f>
        <v>0</v>
      </c>
      <c r="L111" s="6">
        <f>'Multi'!C613*L$11*'LAFs'!C$238*(1-'Contrib'!L$99)*100/(24*'Input'!$F$58)</f>
        <v>0</v>
      </c>
      <c r="M111" s="6">
        <f>'Multi'!D613*M$11*'LAFs'!D$238*(1-'Contrib'!M$99)*100/(24*'Input'!$F$58)</f>
        <v>0</v>
      </c>
      <c r="N111" s="6">
        <f>'Multi'!E613*N$11*'LAFs'!E$238*(1-'Contrib'!N$99)*100/(24*'Input'!$F$58)</f>
        <v>0</v>
      </c>
      <c r="O111" s="6">
        <f>'Multi'!F613*O$11*'LAFs'!F$238*(1-'Contrib'!O$99)*100/(24*'Input'!$F$58)</f>
        <v>0</v>
      </c>
      <c r="P111" s="6">
        <f>'Multi'!G613*P$11*'LAFs'!G$238*(1-'Contrib'!P$99)*100/(24*'Input'!$F$58)</f>
        <v>0</v>
      </c>
      <c r="Q111" s="6">
        <f>'Multi'!H613*Q$11*'LAFs'!H$238*(1-'Contrib'!Q$99)*100/(24*'Input'!$F$58)</f>
        <v>0</v>
      </c>
      <c r="R111" s="6">
        <f>'Multi'!I613*R$11*'LAFs'!I$238*(1-'Contrib'!R$99)*100/(24*'Input'!$F$58)</f>
        <v>0</v>
      </c>
      <c r="S111" s="6">
        <f>'Multi'!J613*S$11*'LAFs'!J$238*(1-'Contrib'!S$99)*100/(24*'Input'!$F$58)</f>
        <v>0</v>
      </c>
      <c r="T111" s="10"/>
    </row>
    <row r="112" spans="1:20">
      <c r="A112" s="11" t="s">
        <v>179</v>
      </c>
      <c r="B112" s="6">
        <f>'Multi'!B614*B$11*'LAFs'!B$239*(1-'Contrib'!B$100)*100/(24*'Input'!$F$58)</f>
        <v>0</v>
      </c>
      <c r="C112" s="6">
        <f>'Multi'!C614*C$11*'LAFs'!C$239*(1-'Contrib'!C$100)*100/(24*'Input'!$F$58)</f>
        <v>0</v>
      </c>
      <c r="D112" s="6">
        <f>'Multi'!D614*D$11*'LAFs'!D$239*(1-'Contrib'!D$100)*100/(24*'Input'!$F$58)</f>
        <v>0</v>
      </c>
      <c r="E112" s="6">
        <f>'Multi'!E614*E$11*'LAFs'!E$239*(1-'Contrib'!E$100)*100/(24*'Input'!$F$58)</f>
        <v>0</v>
      </c>
      <c r="F112" s="6">
        <f>'Multi'!F614*F$11*'LAFs'!F$239*(1-'Contrib'!F$100)*100/(24*'Input'!$F$58)</f>
        <v>0</v>
      </c>
      <c r="G112" s="6">
        <f>'Multi'!G614*G$11*'LAFs'!G$239*(1-'Contrib'!G$100)*100/(24*'Input'!$F$58)</f>
        <v>0</v>
      </c>
      <c r="H112" s="6">
        <f>'Multi'!H614*H$11*'LAFs'!H$239*(1-'Contrib'!H$100)*100/(24*'Input'!$F$58)</f>
        <v>0</v>
      </c>
      <c r="I112" s="6">
        <f>'Multi'!I614*I$11*'LAFs'!I$239*(1-'Contrib'!I$100)*100/(24*'Input'!$F$58)</f>
        <v>0</v>
      </c>
      <c r="J112" s="6">
        <f>'Multi'!J614*J$11*'LAFs'!J$239*(1-'Contrib'!J$100)*100/(24*'Input'!$F$58)</f>
        <v>0</v>
      </c>
      <c r="K112" s="6">
        <f>'Multi'!B614*K$11*'LAFs'!B$239*(1-'Contrib'!K$100)*100/(24*'Input'!$F$58)</f>
        <v>0</v>
      </c>
      <c r="L112" s="6">
        <f>'Multi'!C614*L$11*'LAFs'!C$239*(1-'Contrib'!L$100)*100/(24*'Input'!$F$58)</f>
        <v>0</v>
      </c>
      <c r="M112" s="6">
        <f>'Multi'!D614*M$11*'LAFs'!D$239*(1-'Contrib'!M$100)*100/(24*'Input'!$F$58)</f>
        <v>0</v>
      </c>
      <c r="N112" s="6">
        <f>'Multi'!E614*N$11*'LAFs'!E$239*(1-'Contrib'!N$100)*100/(24*'Input'!$F$58)</f>
        <v>0</v>
      </c>
      <c r="O112" s="6">
        <f>'Multi'!F614*O$11*'LAFs'!F$239*(1-'Contrib'!O$100)*100/(24*'Input'!$F$58)</f>
        <v>0</v>
      </c>
      <c r="P112" s="6">
        <f>'Multi'!G614*P$11*'LAFs'!G$239*(1-'Contrib'!P$100)*100/(24*'Input'!$F$58)</f>
        <v>0</v>
      </c>
      <c r="Q112" s="6">
        <f>'Multi'!H614*Q$11*'LAFs'!H$239*(1-'Contrib'!Q$100)*100/(24*'Input'!$F$58)</f>
        <v>0</v>
      </c>
      <c r="R112" s="6">
        <f>'Multi'!I614*R$11*'LAFs'!I$239*(1-'Contrib'!R$100)*100/(24*'Input'!$F$58)</f>
        <v>0</v>
      </c>
      <c r="S112" s="6">
        <f>'Multi'!J614*S$11*'LAFs'!J$239*(1-'Contrib'!S$100)*100/(24*'Input'!$F$58)</f>
        <v>0</v>
      </c>
      <c r="T112" s="10"/>
    </row>
    <row r="113" spans="1:20">
      <c r="A113" s="11" t="s">
        <v>192</v>
      </c>
      <c r="B113" s="6">
        <f>'Multi'!B615*B$11*'LAFs'!B$240*(1-'Contrib'!B$101)*100/(24*'Input'!$F$58)</f>
        <v>0</v>
      </c>
      <c r="C113" s="6">
        <f>'Multi'!C615*C$11*'LAFs'!C$240*(1-'Contrib'!C$101)*100/(24*'Input'!$F$58)</f>
        <v>0</v>
      </c>
      <c r="D113" s="6">
        <f>'Multi'!D615*D$11*'LAFs'!D$240*(1-'Contrib'!D$101)*100/(24*'Input'!$F$58)</f>
        <v>0</v>
      </c>
      <c r="E113" s="6">
        <f>'Multi'!E615*E$11*'LAFs'!E$240*(1-'Contrib'!E$101)*100/(24*'Input'!$F$58)</f>
        <v>0</v>
      </c>
      <c r="F113" s="6">
        <f>'Multi'!F615*F$11*'LAFs'!F$240*(1-'Contrib'!F$101)*100/(24*'Input'!$F$58)</f>
        <v>0</v>
      </c>
      <c r="G113" s="6">
        <f>'Multi'!G615*G$11*'LAFs'!G$240*(1-'Contrib'!G$101)*100/(24*'Input'!$F$58)</f>
        <v>0</v>
      </c>
      <c r="H113" s="6">
        <f>'Multi'!H615*H$11*'LAFs'!H$240*(1-'Contrib'!H$101)*100/(24*'Input'!$F$58)</f>
        <v>0</v>
      </c>
      <c r="I113" s="6">
        <f>'Multi'!I615*I$11*'LAFs'!I$240*(1-'Contrib'!I$101)*100/(24*'Input'!$F$58)</f>
        <v>0</v>
      </c>
      <c r="J113" s="6">
        <f>'Multi'!J615*J$11*'LAFs'!J$240*(1-'Contrib'!J$101)*100/(24*'Input'!$F$58)</f>
        <v>0</v>
      </c>
      <c r="K113" s="6">
        <f>'Multi'!B615*K$11*'LAFs'!B$240*(1-'Contrib'!K$101)*100/(24*'Input'!$F$58)</f>
        <v>0</v>
      </c>
      <c r="L113" s="6">
        <f>'Multi'!C615*L$11*'LAFs'!C$240*(1-'Contrib'!L$101)*100/(24*'Input'!$F$58)</f>
        <v>0</v>
      </c>
      <c r="M113" s="6">
        <f>'Multi'!D615*M$11*'LAFs'!D$240*(1-'Contrib'!M$101)*100/(24*'Input'!$F$58)</f>
        <v>0</v>
      </c>
      <c r="N113" s="6">
        <f>'Multi'!E615*N$11*'LAFs'!E$240*(1-'Contrib'!N$101)*100/(24*'Input'!$F$58)</f>
        <v>0</v>
      </c>
      <c r="O113" s="6">
        <f>'Multi'!F615*O$11*'LAFs'!F$240*(1-'Contrib'!O$101)*100/(24*'Input'!$F$58)</f>
        <v>0</v>
      </c>
      <c r="P113" s="6">
        <f>'Multi'!G615*P$11*'LAFs'!G$240*(1-'Contrib'!P$101)*100/(24*'Input'!$F$58)</f>
        <v>0</v>
      </c>
      <c r="Q113" s="6">
        <f>'Multi'!H615*Q$11*'LAFs'!H$240*(1-'Contrib'!Q$101)*100/(24*'Input'!$F$58)</f>
        <v>0</v>
      </c>
      <c r="R113" s="6">
        <f>'Multi'!I615*R$11*'LAFs'!I$240*(1-'Contrib'!R$101)*100/(24*'Input'!$F$58)</f>
        <v>0</v>
      </c>
      <c r="S113" s="6">
        <f>'Multi'!J615*S$11*'LAFs'!J$240*(1-'Contrib'!S$101)*100/(24*'Input'!$F$58)</f>
        <v>0</v>
      </c>
      <c r="T113" s="10"/>
    </row>
    <row r="114" spans="1:20">
      <c r="A114" s="11" t="s">
        <v>183</v>
      </c>
      <c r="B114" s="6">
        <f>'Multi'!B616*B$11*'LAFs'!B$249*(1-'Contrib'!B$110)*100/(24*'Input'!$F$58)</f>
        <v>0</v>
      </c>
      <c r="C114" s="6">
        <f>'Multi'!C616*C$11*'LAFs'!C$249*(1-'Contrib'!C$110)*100/(24*'Input'!$F$58)</f>
        <v>0</v>
      </c>
      <c r="D114" s="6">
        <f>'Multi'!D616*D$11*'LAFs'!D$249*(1-'Contrib'!D$110)*100/(24*'Input'!$F$58)</f>
        <v>0</v>
      </c>
      <c r="E114" s="6">
        <f>'Multi'!E616*E$11*'LAFs'!E$249*(1-'Contrib'!E$110)*100/(24*'Input'!$F$58)</f>
        <v>0</v>
      </c>
      <c r="F114" s="6">
        <f>'Multi'!F616*F$11*'LAFs'!F$249*(1-'Contrib'!F$110)*100/(24*'Input'!$F$58)</f>
        <v>0</v>
      </c>
      <c r="G114" s="6">
        <f>'Multi'!G616*G$11*'LAFs'!G$249*(1-'Contrib'!G$110)*100/(24*'Input'!$F$58)</f>
        <v>0</v>
      </c>
      <c r="H114" s="6">
        <f>'Multi'!H616*H$11*'LAFs'!H$249*(1-'Contrib'!H$110)*100/(24*'Input'!$F$58)</f>
        <v>0</v>
      </c>
      <c r="I114" s="6">
        <f>'Multi'!I616*I$11*'LAFs'!I$249*(1-'Contrib'!I$110)*100/(24*'Input'!$F$58)</f>
        <v>0</v>
      </c>
      <c r="J114" s="6">
        <f>'Multi'!J616*J$11*'LAFs'!J$249*(1-'Contrib'!J$110)*100/(24*'Input'!$F$58)</f>
        <v>0</v>
      </c>
      <c r="K114" s="6">
        <f>'Multi'!B616*K$11*'LAFs'!B$249*(1-'Contrib'!K$110)*100/(24*'Input'!$F$58)</f>
        <v>0</v>
      </c>
      <c r="L114" s="6">
        <f>'Multi'!C616*L$11*'LAFs'!C$249*(1-'Contrib'!L$110)*100/(24*'Input'!$F$58)</f>
        <v>0</v>
      </c>
      <c r="M114" s="6">
        <f>'Multi'!D616*M$11*'LAFs'!D$249*(1-'Contrib'!M$110)*100/(24*'Input'!$F$58)</f>
        <v>0</v>
      </c>
      <c r="N114" s="6">
        <f>'Multi'!E616*N$11*'LAFs'!E$249*(1-'Contrib'!N$110)*100/(24*'Input'!$F$58)</f>
        <v>0</v>
      </c>
      <c r="O114" s="6">
        <f>'Multi'!F616*O$11*'LAFs'!F$249*(1-'Contrib'!O$110)*100/(24*'Input'!$F$58)</f>
        <v>0</v>
      </c>
      <c r="P114" s="6">
        <f>'Multi'!G616*P$11*'LAFs'!G$249*(1-'Contrib'!P$110)*100/(24*'Input'!$F$58)</f>
        <v>0</v>
      </c>
      <c r="Q114" s="6">
        <f>'Multi'!H616*Q$11*'LAFs'!H$249*(1-'Contrib'!Q$110)*100/(24*'Input'!$F$58)</f>
        <v>0</v>
      </c>
      <c r="R114" s="6">
        <f>'Multi'!I616*R$11*'LAFs'!I$249*(1-'Contrib'!R$110)*100/(24*'Input'!$F$58)</f>
        <v>0</v>
      </c>
      <c r="S114" s="6">
        <f>'Multi'!J616*S$11*'LAFs'!J$249*(1-'Contrib'!S$110)*100/(24*'Input'!$F$58)</f>
        <v>0</v>
      </c>
      <c r="T114" s="10"/>
    </row>
    <row r="115" spans="1:20">
      <c r="A115" s="11" t="s">
        <v>185</v>
      </c>
      <c r="B115" s="6">
        <f>'Multi'!B617*B$11*'LAFs'!B$251*(1-'Contrib'!B$112)*100/(24*'Input'!$F$58)</f>
        <v>0</v>
      </c>
      <c r="C115" s="6">
        <f>'Multi'!C617*C$11*'LAFs'!C$251*(1-'Contrib'!C$112)*100/(24*'Input'!$F$58)</f>
        <v>0</v>
      </c>
      <c r="D115" s="6">
        <f>'Multi'!D617*D$11*'LAFs'!D$251*(1-'Contrib'!D$112)*100/(24*'Input'!$F$58)</f>
        <v>0</v>
      </c>
      <c r="E115" s="6">
        <f>'Multi'!E617*E$11*'LAFs'!E$251*(1-'Contrib'!E$112)*100/(24*'Input'!$F$58)</f>
        <v>0</v>
      </c>
      <c r="F115" s="6">
        <f>'Multi'!F617*F$11*'LAFs'!F$251*(1-'Contrib'!F$112)*100/(24*'Input'!$F$58)</f>
        <v>0</v>
      </c>
      <c r="G115" s="6">
        <f>'Multi'!G617*G$11*'LAFs'!G$251*(1-'Contrib'!G$112)*100/(24*'Input'!$F$58)</f>
        <v>0</v>
      </c>
      <c r="H115" s="6">
        <f>'Multi'!H617*H$11*'LAFs'!H$251*(1-'Contrib'!H$112)*100/(24*'Input'!$F$58)</f>
        <v>0</v>
      </c>
      <c r="I115" s="6">
        <f>'Multi'!I617*I$11*'LAFs'!I$251*(1-'Contrib'!I$112)*100/(24*'Input'!$F$58)</f>
        <v>0</v>
      </c>
      <c r="J115" s="6">
        <f>'Multi'!J617*J$11*'LAFs'!J$251*(1-'Contrib'!J$112)*100/(24*'Input'!$F$58)</f>
        <v>0</v>
      </c>
      <c r="K115" s="6">
        <f>'Multi'!B617*K$11*'LAFs'!B$251*(1-'Contrib'!K$112)*100/(24*'Input'!$F$58)</f>
        <v>0</v>
      </c>
      <c r="L115" s="6">
        <f>'Multi'!C617*L$11*'LAFs'!C$251*(1-'Contrib'!L$112)*100/(24*'Input'!$F$58)</f>
        <v>0</v>
      </c>
      <c r="M115" s="6">
        <f>'Multi'!D617*M$11*'LAFs'!D$251*(1-'Contrib'!M$112)*100/(24*'Input'!$F$58)</f>
        <v>0</v>
      </c>
      <c r="N115" s="6">
        <f>'Multi'!E617*N$11*'LAFs'!E$251*(1-'Contrib'!N$112)*100/(24*'Input'!$F$58)</f>
        <v>0</v>
      </c>
      <c r="O115" s="6">
        <f>'Multi'!F617*O$11*'LAFs'!F$251*(1-'Contrib'!O$112)*100/(24*'Input'!$F$58)</f>
        <v>0</v>
      </c>
      <c r="P115" s="6">
        <f>'Multi'!G617*P$11*'LAFs'!G$251*(1-'Contrib'!P$112)*100/(24*'Input'!$F$58)</f>
        <v>0</v>
      </c>
      <c r="Q115" s="6">
        <f>'Multi'!H617*Q$11*'LAFs'!H$251*(1-'Contrib'!Q$112)*100/(24*'Input'!$F$58)</f>
        <v>0</v>
      </c>
      <c r="R115" s="6">
        <f>'Multi'!I617*R$11*'LAFs'!I$251*(1-'Contrib'!R$112)*100/(24*'Input'!$F$58)</f>
        <v>0</v>
      </c>
      <c r="S115" s="6">
        <f>'Multi'!J617*S$11*'LAFs'!J$251*(1-'Contrib'!S$112)*100/(24*'Input'!$F$58)</f>
        <v>0</v>
      </c>
      <c r="T115" s="10"/>
    </row>
    <row r="116" spans="1:20">
      <c r="A116" s="11" t="s">
        <v>194</v>
      </c>
      <c r="B116" s="6">
        <f>'Multi'!B618*B$11*'LAFs'!B$253*(1-'Contrib'!B$114)*100/(24*'Input'!$F$58)</f>
        <v>0</v>
      </c>
      <c r="C116" s="6">
        <f>'Multi'!C618*C$11*'LAFs'!C$253*(1-'Contrib'!C$114)*100/(24*'Input'!$F$58)</f>
        <v>0</v>
      </c>
      <c r="D116" s="6">
        <f>'Multi'!D618*D$11*'LAFs'!D$253*(1-'Contrib'!D$114)*100/(24*'Input'!$F$58)</f>
        <v>0</v>
      </c>
      <c r="E116" s="6">
        <f>'Multi'!E618*E$11*'LAFs'!E$253*(1-'Contrib'!E$114)*100/(24*'Input'!$F$58)</f>
        <v>0</v>
      </c>
      <c r="F116" s="6">
        <f>'Multi'!F618*F$11*'LAFs'!F$253*(1-'Contrib'!F$114)*100/(24*'Input'!$F$58)</f>
        <v>0</v>
      </c>
      <c r="G116" s="6">
        <f>'Multi'!G618*G$11*'LAFs'!G$253*(1-'Contrib'!G$114)*100/(24*'Input'!$F$58)</f>
        <v>0</v>
      </c>
      <c r="H116" s="6">
        <f>'Multi'!H618*H$11*'LAFs'!H$253*(1-'Contrib'!H$114)*100/(24*'Input'!$F$58)</f>
        <v>0</v>
      </c>
      <c r="I116" s="6">
        <f>'Multi'!I618*I$11*'LAFs'!I$253*(1-'Contrib'!I$114)*100/(24*'Input'!$F$58)</f>
        <v>0</v>
      </c>
      <c r="J116" s="6">
        <f>'Multi'!J618*J$11*'LAFs'!J$253*(1-'Contrib'!J$114)*100/(24*'Input'!$F$58)</f>
        <v>0</v>
      </c>
      <c r="K116" s="6">
        <f>'Multi'!B618*K$11*'LAFs'!B$253*(1-'Contrib'!K$114)*100/(24*'Input'!$F$58)</f>
        <v>0</v>
      </c>
      <c r="L116" s="6">
        <f>'Multi'!C618*L$11*'LAFs'!C$253*(1-'Contrib'!L$114)*100/(24*'Input'!$F$58)</f>
        <v>0</v>
      </c>
      <c r="M116" s="6">
        <f>'Multi'!D618*M$11*'LAFs'!D$253*(1-'Contrib'!M$114)*100/(24*'Input'!$F$58)</f>
        <v>0</v>
      </c>
      <c r="N116" s="6">
        <f>'Multi'!E618*N$11*'LAFs'!E$253*(1-'Contrib'!N$114)*100/(24*'Input'!$F$58)</f>
        <v>0</v>
      </c>
      <c r="O116" s="6">
        <f>'Multi'!F618*O$11*'LAFs'!F$253*(1-'Contrib'!O$114)*100/(24*'Input'!$F$58)</f>
        <v>0</v>
      </c>
      <c r="P116" s="6">
        <f>'Multi'!G618*P$11*'LAFs'!G$253*(1-'Contrib'!P$114)*100/(24*'Input'!$F$58)</f>
        <v>0</v>
      </c>
      <c r="Q116" s="6">
        <f>'Multi'!H618*Q$11*'LAFs'!H$253*(1-'Contrib'!Q$114)*100/(24*'Input'!$F$58)</f>
        <v>0</v>
      </c>
      <c r="R116" s="6">
        <f>'Multi'!I618*R$11*'LAFs'!I$253*(1-'Contrib'!R$114)*100/(24*'Input'!$F$58)</f>
        <v>0</v>
      </c>
      <c r="S116" s="6">
        <f>'Multi'!J618*S$11*'LAFs'!J$253*(1-'Contrib'!S$114)*100/(24*'Input'!$F$58)</f>
        <v>0</v>
      </c>
      <c r="T116" s="10"/>
    </row>
    <row r="117" spans="1:20">
      <c r="A117" s="11" t="s">
        <v>216</v>
      </c>
      <c r="B117" s="6">
        <f>'Multi'!B619*B$11*'LAFs'!B$245*(1-'Contrib'!B$106)*100/(24*'Input'!$F$58)</f>
        <v>0</v>
      </c>
      <c r="C117" s="6">
        <f>'Multi'!C619*C$11*'LAFs'!C$245*(1-'Contrib'!C$106)*100/(24*'Input'!$F$58)</f>
        <v>0</v>
      </c>
      <c r="D117" s="6">
        <f>'Multi'!D619*D$11*'LAFs'!D$245*(1-'Contrib'!D$106)*100/(24*'Input'!$F$58)</f>
        <v>0</v>
      </c>
      <c r="E117" s="6">
        <f>'Multi'!E619*E$11*'LAFs'!E$245*(1-'Contrib'!E$106)*100/(24*'Input'!$F$58)</f>
        <v>0</v>
      </c>
      <c r="F117" s="6">
        <f>'Multi'!F619*F$11*'LAFs'!F$245*(1-'Contrib'!F$106)*100/(24*'Input'!$F$58)</f>
        <v>0</v>
      </c>
      <c r="G117" s="6">
        <f>'Multi'!G619*G$11*'LAFs'!G$245*(1-'Contrib'!G$106)*100/(24*'Input'!$F$58)</f>
        <v>0</v>
      </c>
      <c r="H117" s="6">
        <f>'Multi'!H619*H$11*'LAFs'!H$245*(1-'Contrib'!H$106)*100/(24*'Input'!$F$58)</f>
        <v>0</v>
      </c>
      <c r="I117" s="6">
        <f>'Multi'!I619*I$11*'LAFs'!I$245*(1-'Contrib'!I$106)*100/(24*'Input'!$F$58)</f>
        <v>0</v>
      </c>
      <c r="J117" s="6">
        <f>'Multi'!J619*J$11*'LAFs'!J$245*(1-'Contrib'!J$106)*100/(24*'Input'!$F$58)</f>
        <v>0</v>
      </c>
      <c r="K117" s="6">
        <f>'Multi'!B619*K$11*'LAFs'!B$245*(1-'Contrib'!K$106)*100/(24*'Input'!$F$58)</f>
        <v>0</v>
      </c>
      <c r="L117" s="6">
        <f>'Multi'!C619*L$11*'LAFs'!C$245*(1-'Contrib'!L$106)*100/(24*'Input'!$F$58)</f>
        <v>0</v>
      </c>
      <c r="M117" s="6">
        <f>'Multi'!D619*M$11*'LAFs'!D$245*(1-'Contrib'!M$106)*100/(24*'Input'!$F$58)</f>
        <v>0</v>
      </c>
      <c r="N117" s="6">
        <f>'Multi'!E619*N$11*'LAFs'!E$245*(1-'Contrib'!N$106)*100/(24*'Input'!$F$58)</f>
        <v>0</v>
      </c>
      <c r="O117" s="6">
        <f>'Multi'!F619*O$11*'LAFs'!F$245*(1-'Contrib'!O$106)*100/(24*'Input'!$F$58)</f>
        <v>0</v>
      </c>
      <c r="P117" s="6">
        <f>'Multi'!G619*P$11*'LAFs'!G$245*(1-'Contrib'!P$106)*100/(24*'Input'!$F$58)</f>
        <v>0</v>
      </c>
      <c r="Q117" s="6">
        <f>'Multi'!H619*Q$11*'LAFs'!H$245*(1-'Contrib'!Q$106)*100/(24*'Input'!$F$58)</f>
        <v>0</v>
      </c>
      <c r="R117" s="6">
        <f>'Multi'!I619*R$11*'LAFs'!I$245*(1-'Contrib'!R$106)*100/(24*'Input'!$F$58)</f>
        <v>0</v>
      </c>
      <c r="S117" s="6">
        <f>'Multi'!J619*S$11*'LAFs'!J$245*(1-'Contrib'!S$106)*100/(24*'Input'!$F$58)</f>
        <v>0</v>
      </c>
      <c r="T117" s="10"/>
    </row>
  </sheetData>
  <sheetProtection sheet="1" objects="1" scenarios="1"/>
  <hyperlinks>
    <hyperlink ref="A6" location="'DRM'!B129" display="x1 = 2109. Network model annuity by simultaneous maximum load for each network level (£/kW/year)"/>
    <hyperlink ref="A7" location="'Otex'!B107" display="x2 = 2710. Unit operating expenditure based on simultaneous maximum load (£/kW/year)"/>
    <hyperlink ref="A15" location="'Yard'!B10" display="x1 = 2901. Unit cost at each level, £/kW/year (relative to system simultaneous maximum load)"/>
    <hyperlink ref="A16" location="'Loads'!B43" display="x2 = 2302. Load coefficient"/>
    <hyperlink ref="A17" location="'LAFs'!B228" display="x3 = 2012. Loss adjustment factors between end user meter reading and each network level, scaled by network use"/>
    <hyperlink ref="A18" location="'Contrib'!B89" display="x4 = 2804. Proportion of annual charge covered by contributions (for all charging levels)"/>
    <hyperlink ref="A19" location="'Input'!F57" display="x5 = 1010. Days in the charging year (in Financial and general assumptions)"/>
    <hyperlink ref="A51" location="'Multi'!B566" display="x1 = 2437. Unit rate 1 pseudo load coefficient by network level (combined)"/>
    <hyperlink ref="A52" location="'Yard'!B10" display="x2 = 2901. Unit cost at each level, £/kW/year (relative to system simultaneous maximum load)"/>
    <hyperlink ref="A53" location="'LAFs'!B228" display="x3 = 2012. Loss adjustment factors between end user meter reading and each network level, scaled by network use"/>
    <hyperlink ref="A54" location="'Contrib'!B89" display="x4 = 2804. Proportion of annual charge covered by contributions (for all charging levels)"/>
    <hyperlink ref="A55" location="'Input'!F57" display="x5 = 1010. Days in the charging year (in Financial and general assumptions)"/>
    <hyperlink ref="A80" location="'Multi'!B592" display="x1 = 2438. Unit rate 2 pseudo load coefficient by network level (combined)"/>
    <hyperlink ref="A81" location="'Yard'!B10" display="x2 = 2901. Unit cost at each level, £/kW/year (relative to system simultaneous maximum load)"/>
    <hyperlink ref="A82" location="'LAFs'!B228" display="x3 = 2012. Loss adjustment factors between end user meter reading and each network level, scaled by network use"/>
    <hyperlink ref="A83" location="'Contrib'!B89" display="x4 = 2804. Proportion of annual charge covered by contributions (for all charging levels)"/>
    <hyperlink ref="A84" location="'Input'!F57" display="x5 = 1010. Days in the charging year (in Financial and general assumptions)"/>
    <hyperlink ref="A103" location="'Multi'!B612" display="x1 = 2439. Unit rate 3 pseudo load coefficient by network level (combined)"/>
    <hyperlink ref="A104" location="'Yard'!B10" display="x2 = 2901. Unit cost at each level, £/kW/year (relative to system simultaneous maximum load)"/>
    <hyperlink ref="A105" location="'LAFs'!B228" display="x3 = 2012. Loss adjustment factors between end user meter reading and each network level, scaled by network use"/>
    <hyperlink ref="A106" location="'Contrib'!B89" display="x4 = 2804. Proportion of annual charge covered by contributions (for all charging levels)"/>
    <hyperlink ref="A107" location="'Input'!F57" display="x5 = 1010. Days in the charging year (in Financial and general assumptions)"/>
  </hyperlinks>
  <pageMargins left="0.7" right="0.7" top="0.75" bottom="0.75" header="0.3" footer="0.3"/>
  <pageSetup fitToHeight="0" orientation="landscape"/>
  <headerFooter>
    <oddHeader>&amp;L&amp;A&amp;Cr6432&amp;R&amp;P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>
      <c r="A1" s="1">
        <f>"Allocation to standing charges"&amp;" for "&amp;'Input'!B7&amp;" in "&amp;'Input'!C7&amp;" ("&amp;'Input'!D7&amp;")"</f>
        <v>0</v>
      </c>
    </row>
    <row r="2" spans="1:20">
      <c r="A2" s="2" t="s">
        <v>917</v>
      </c>
    </row>
    <row r="4" spans="1:20">
      <c r="A4" s="1" t="s">
        <v>918</v>
      </c>
    </row>
    <row r="5" spans="1:20">
      <c r="A5" s="2" t="s">
        <v>349</v>
      </c>
    </row>
    <row r="6" spans="1:20">
      <c r="A6" s="12" t="s">
        <v>906</v>
      </c>
    </row>
    <row r="7" spans="1:20">
      <c r="A7" s="12" t="s">
        <v>919</v>
      </c>
    </row>
    <row r="8" spans="1:20">
      <c r="A8" s="2" t="s">
        <v>920</v>
      </c>
    </row>
    <row r="10" spans="1:20">
      <c r="B10" s="3" t="s">
        <v>140</v>
      </c>
      <c r="C10" s="3" t="s">
        <v>304</v>
      </c>
      <c r="D10" s="3" t="s">
        <v>305</v>
      </c>
      <c r="E10" s="3" t="s">
        <v>306</v>
      </c>
      <c r="F10" s="3" t="s">
        <v>307</v>
      </c>
      <c r="G10" s="3" t="s">
        <v>308</v>
      </c>
      <c r="H10" s="3" t="s">
        <v>309</v>
      </c>
      <c r="I10" s="3" t="s">
        <v>310</v>
      </c>
      <c r="J10" s="3" t="s">
        <v>311</v>
      </c>
      <c r="K10" s="3" t="s">
        <v>292</v>
      </c>
      <c r="L10" s="3" t="s">
        <v>810</v>
      </c>
      <c r="M10" s="3" t="s">
        <v>811</v>
      </c>
      <c r="N10" s="3" t="s">
        <v>812</v>
      </c>
      <c r="O10" s="3" t="s">
        <v>813</v>
      </c>
      <c r="P10" s="3" t="s">
        <v>814</v>
      </c>
      <c r="Q10" s="3" t="s">
        <v>815</v>
      </c>
      <c r="R10" s="3" t="s">
        <v>816</v>
      </c>
      <c r="S10" s="3" t="s">
        <v>817</v>
      </c>
    </row>
    <row r="11" spans="1:20">
      <c r="A11" s="11" t="s">
        <v>921</v>
      </c>
      <c r="B11" s="6">
        <f>'Yard'!B11/(1+'AMD'!B207)</f>
        <v>0</v>
      </c>
      <c r="C11" s="6">
        <f>'Yard'!C11/(1+'AMD'!C207)</f>
        <v>0</v>
      </c>
      <c r="D11" s="6">
        <f>'Yard'!D11/(1+'AMD'!D207)</f>
        <v>0</v>
      </c>
      <c r="E11" s="6">
        <f>'Yard'!E11/(1+'AMD'!E207)</f>
        <v>0</v>
      </c>
      <c r="F11" s="6">
        <f>'Yard'!F11/(1+'AMD'!F207)</f>
        <v>0</v>
      </c>
      <c r="G11" s="6">
        <f>'Yard'!G11/(1+'AMD'!G207)</f>
        <v>0</v>
      </c>
      <c r="H11" s="6">
        <f>'Yard'!H11/(1+'AMD'!H207)</f>
        <v>0</v>
      </c>
      <c r="I11" s="6">
        <f>'Yard'!I11/(1+'AMD'!I207)</f>
        <v>0</v>
      </c>
      <c r="J11" s="6">
        <f>'Yard'!J11/(1+'AMD'!J207)</f>
        <v>0</v>
      </c>
      <c r="K11" s="6">
        <f>'Yard'!K11/(1+'AMD'!B207)</f>
        <v>0</v>
      </c>
      <c r="L11" s="6">
        <f>'Yard'!L11/(1+'AMD'!C207)</f>
        <v>0</v>
      </c>
      <c r="M11" s="6">
        <f>'Yard'!M11/(1+'AMD'!D207)</f>
        <v>0</v>
      </c>
      <c r="N11" s="6">
        <f>'Yard'!N11/(1+'AMD'!E207)</f>
        <v>0</v>
      </c>
      <c r="O11" s="6">
        <f>'Yard'!O11/(1+'AMD'!F207)</f>
        <v>0</v>
      </c>
      <c r="P11" s="6">
        <f>'Yard'!P11/(1+'AMD'!G207)</f>
        <v>0</v>
      </c>
      <c r="Q11" s="6">
        <f>'Yard'!Q11/(1+'AMD'!H207)</f>
        <v>0</v>
      </c>
      <c r="R11" s="6">
        <f>'Yard'!R11/(1+'AMD'!I207)</f>
        <v>0</v>
      </c>
      <c r="S11" s="6">
        <f>'Yard'!S11/(1+'AMD'!J207)</f>
        <v>0</v>
      </c>
      <c r="T11" s="10"/>
    </row>
    <row r="13" spans="1:20">
      <c r="A13" s="1" t="s">
        <v>922</v>
      </c>
    </row>
    <row r="14" spans="1:20">
      <c r="A14" s="2" t="s">
        <v>923</v>
      </c>
    </row>
    <row r="15" spans="1:20">
      <c r="A15" s="2" t="s">
        <v>349</v>
      </c>
    </row>
    <row r="16" spans="1:20">
      <c r="A16" s="12" t="s">
        <v>924</v>
      </c>
    </row>
    <row r="17" spans="1:20">
      <c r="A17" s="12" t="s">
        <v>925</v>
      </c>
    </row>
    <row r="18" spans="1:20">
      <c r="A18" s="12" t="s">
        <v>926</v>
      </c>
    </row>
    <row r="19" spans="1:20">
      <c r="A19" s="12" t="s">
        <v>927</v>
      </c>
    </row>
    <row r="20" spans="1:20">
      <c r="A20" s="12" t="s">
        <v>663</v>
      </c>
    </row>
    <row r="21" spans="1:20">
      <c r="A21" s="12" t="s">
        <v>928</v>
      </c>
    </row>
    <row r="22" spans="1:20">
      <c r="A22" s="2" t="s">
        <v>929</v>
      </c>
    </row>
    <row r="24" spans="1:20">
      <c r="B24" s="3" t="s">
        <v>140</v>
      </c>
      <c r="C24" s="3" t="s">
        <v>304</v>
      </c>
      <c r="D24" s="3" t="s">
        <v>305</v>
      </c>
      <c r="E24" s="3" t="s">
        <v>306</v>
      </c>
      <c r="F24" s="3" t="s">
        <v>307</v>
      </c>
      <c r="G24" s="3" t="s">
        <v>308</v>
      </c>
      <c r="H24" s="3" t="s">
        <v>309</v>
      </c>
      <c r="I24" s="3" t="s">
        <v>310</v>
      </c>
      <c r="J24" s="3" t="s">
        <v>311</v>
      </c>
      <c r="K24" s="3" t="s">
        <v>292</v>
      </c>
      <c r="L24" s="3" t="s">
        <v>810</v>
      </c>
      <c r="M24" s="3" t="s">
        <v>811</v>
      </c>
      <c r="N24" s="3" t="s">
        <v>812</v>
      </c>
      <c r="O24" s="3" t="s">
        <v>813</v>
      </c>
      <c r="P24" s="3" t="s">
        <v>814</v>
      </c>
      <c r="Q24" s="3" t="s">
        <v>815</v>
      </c>
      <c r="R24" s="3" t="s">
        <v>816</v>
      </c>
      <c r="S24" s="3" t="s">
        <v>817</v>
      </c>
    </row>
    <row r="25" spans="1:20">
      <c r="A25" s="11" t="s">
        <v>172</v>
      </c>
      <c r="B25" s="6">
        <f>100*'AMD'!B39*'LAFs'!B$229*B$11*'Input'!$E$58/'Input'!$F$58*(1-'Contrib'!B$90)</f>
        <v>0</v>
      </c>
      <c r="C25" s="6">
        <f>100*'AMD'!C39*'LAFs'!C$229*C$11*'Input'!$E$58/'Input'!$F$58*(1-'Contrib'!C$90)</f>
        <v>0</v>
      </c>
      <c r="D25" s="6">
        <f>100*'AMD'!D39*'LAFs'!D$229*D$11*'Input'!$E$58/'Input'!$F$58*(1-'Contrib'!D$90)</f>
        <v>0</v>
      </c>
      <c r="E25" s="6">
        <f>100*'AMD'!E39*'LAFs'!E$229*E$11*'Input'!$E$58/'Input'!$F$58*(1-'Contrib'!E$90)</f>
        <v>0</v>
      </c>
      <c r="F25" s="6">
        <f>100*'AMD'!F39*'LAFs'!F$229*F$11*'Input'!$E$58/'Input'!$F$58*(1-'Contrib'!F$90)</f>
        <v>0</v>
      </c>
      <c r="G25" s="6">
        <f>100*'AMD'!G39*'LAFs'!G$229*G$11*'Input'!$E$58/'Input'!$F$58*(1-'Contrib'!G$90)</f>
        <v>0</v>
      </c>
      <c r="H25" s="6">
        <f>100*'AMD'!H39*'LAFs'!H$229*H$11*'Input'!$E$58/'Input'!$F$58*(1-'Contrib'!H$90)</f>
        <v>0</v>
      </c>
      <c r="I25" s="6">
        <f>100*'AMD'!I39*'LAFs'!I$229*I$11*'Input'!$E$58/'Input'!$F$58*(1-'Contrib'!I$90)</f>
        <v>0</v>
      </c>
      <c r="J25" s="6">
        <f>100*'AMD'!J39*'LAFs'!J$229*J$11*'Input'!$E$58/'Input'!$F$58*(1-'Contrib'!J$90)</f>
        <v>0</v>
      </c>
      <c r="K25" s="6">
        <f>100*'AMD'!B39*'LAFs'!B$229*K$11*'Input'!$E$58/'Input'!$F$58*(1-'Contrib'!K$90)</f>
        <v>0</v>
      </c>
      <c r="L25" s="6">
        <f>100*'AMD'!C39*'LAFs'!C$229*L$11*'Input'!$E$58/'Input'!$F$58*(1-'Contrib'!L$90)</f>
        <v>0</v>
      </c>
      <c r="M25" s="6">
        <f>100*'AMD'!D39*'LAFs'!D$229*M$11*'Input'!$E$58/'Input'!$F$58*(1-'Contrib'!M$90)</f>
        <v>0</v>
      </c>
      <c r="N25" s="6">
        <f>100*'AMD'!E39*'LAFs'!E$229*N$11*'Input'!$E$58/'Input'!$F$58*(1-'Contrib'!N$90)</f>
        <v>0</v>
      </c>
      <c r="O25" s="6">
        <f>100*'AMD'!F39*'LAFs'!F$229*O$11*'Input'!$E$58/'Input'!$F$58*(1-'Contrib'!O$90)</f>
        <v>0</v>
      </c>
      <c r="P25" s="6">
        <f>100*'AMD'!G39*'LAFs'!G$229*P$11*'Input'!$E$58/'Input'!$F$58*(1-'Contrib'!P$90)</f>
        <v>0</v>
      </c>
      <c r="Q25" s="6">
        <f>100*'AMD'!H39*'LAFs'!H$229*Q$11*'Input'!$E$58/'Input'!$F$58*(1-'Contrib'!Q$90)</f>
        <v>0</v>
      </c>
      <c r="R25" s="6">
        <f>100*'AMD'!I39*'LAFs'!I$229*R$11*'Input'!$E$58/'Input'!$F$58*(1-'Contrib'!R$90)</f>
        <v>0</v>
      </c>
      <c r="S25" s="6">
        <f>100*'AMD'!J39*'LAFs'!J$229*S$11*'Input'!$E$58/'Input'!$F$58*(1-'Contrib'!S$90)</f>
        <v>0</v>
      </c>
      <c r="T25" s="10"/>
    </row>
    <row r="26" spans="1:20">
      <c r="A26" s="11" t="s">
        <v>173</v>
      </c>
      <c r="B26" s="6">
        <f>100*'AMD'!B40*'LAFs'!B$230*B$11*'Input'!$E$58/'Input'!$F$58*(1-'Contrib'!B$91)</f>
        <v>0</v>
      </c>
      <c r="C26" s="6">
        <f>100*'AMD'!C40*'LAFs'!C$230*C$11*'Input'!$E$58/'Input'!$F$58*(1-'Contrib'!C$91)</f>
        <v>0</v>
      </c>
      <c r="D26" s="6">
        <f>100*'AMD'!D40*'LAFs'!D$230*D$11*'Input'!$E$58/'Input'!$F$58*(1-'Contrib'!D$91)</f>
        <v>0</v>
      </c>
      <c r="E26" s="6">
        <f>100*'AMD'!E40*'LAFs'!E$230*E$11*'Input'!$E$58/'Input'!$F$58*(1-'Contrib'!E$91)</f>
        <v>0</v>
      </c>
      <c r="F26" s="6">
        <f>100*'AMD'!F40*'LAFs'!F$230*F$11*'Input'!$E$58/'Input'!$F$58*(1-'Contrib'!F$91)</f>
        <v>0</v>
      </c>
      <c r="G26" s="6">
        <f>100*'AMD'!G40*'LAFs'!G$230*G$11*'Input'!$E$58/'Input'!$F$58*(1-'Contrib'!G$91)</f>
        <v>0</v>
      </c>
      <c r="H26" s="6">
        <f>100*'AMD'!H40*'LAFs'!H$230*H$11*'Input'!$E$58/'Input'!$F$58*(1-'Contrib'!H$91)</f>
        <v>0</v>
      </c>
      <c r="I26" s="6">
        <f>100*'AMD'!I40*'LAFs'!I$230*I$11*'Input'!$E$58/'Input'!$F$58*(1-'Contrib'!I$91)</f>
        <v>0</v>
      </c>
      <c r="J26" s="6">
        <f>100*'AMD'!J40*'LAFs'!J$230*J$11*'Input'!$E$58/'Input'!$F$58*(1-'Contrib'!J$91)</f>
        <v>0</v>
      </c>
      <c r="K26" s="6">
        <f>100*'AMD'!B40*'LAFs'!B$230*K$11*'Input'!$E$58/'Input'!$F$58*(1-'Contrib'!K$91)</f>
        <v>0</v>
      </c>
      <c r="L26" s="6">
        <f>100*'AMD'!C40*'LAFs'!C$230*L$11*'Input'!$E$58/'Input'!$F$58*(1-'Contrib'!L$91)</f>
        <v>0</v>
      </c>
      <c r="M26" s="6">
        <f>100*'AMD'!D40*'LAFs'!D$230*M$11*'Input'!$E$58/'Input'!$F$58*(1-'Contrib'!M$91)</f>
        <v>0</v>
      </c>
      <c r="N26" s="6">
        <f>100*'AMD'!E40*'LAFs'!E$230*N$11*'Input'!$E$58/'Input'!$F$58*(1-'Contrib'!N$91)</f>
        <v>0</v>
      </c>
      <c r="O26" s="6">
        <f>100*'AMD'!F40*'LAFs'!F$230*O$11*'Input'!$E$58/'Input'!$F$58*(1-'Contrib'!O$91)</f>
        <v>0</v>
      </c>
      <c r="P26" s="6">
        <f>100*'AMD'!G40*'LAFs'!G$230*P$11*'Input'!$E$58/'Input'!$F$58*(1-'Contrib'!P$91)</f>
        <v>0</v>
      </c>
      <c r="Q26" s="6">
        <f>100*'AMD'!H40*'LAFs'!H$230*Q$11*'Input'!$E$58/'Input'!$F$58*(1-'Contrib'!Q$91)</f>
        <v>0</v>
      </c>
      <c r="R26" s="6">
        <f>100*'AMD'!I40*'LAFs'!I$230*R$11*'Input'!$E$58/'Input'!$F$58*(1-'Contrib'!R$91)</f>
        <v>0</v>
      </c>
      <c r="S26" s="6">
        <f>100*'AMD'!J40*'LAFs'!J$230*S$11*'Input'!$E$58/'Input'!$F$58*(1-'Contrib'!S$91)</f>
        <v>0</v>
      </c>
      <c r="T26" s="10"/>
    </row>
    <row r="27" spans="1:20">
      <c r="A27" s="11" t="s">
        <v>210</v>
      </c>
      <c r="B27" s="6">
        <f>100*'AMD'!B41*'LAFs'!B$231*B$11*'Input'!$E$58/'Input'!$F$58*(1-'Contrib'!B$92)</f>
        <v>0</v>
      </c>
      <c r="C27" s="6">
        <f>100*'AMD'!C41*'LAFs'!C$231*C$11*'Input'!$E$58/'Input'!$F$58*(1-'Contrib'!C$92)</f>
        <v>0</v>
      </c>
      <c r="D27" s="6">
        <f>100*'AMD'!D41*'LAFs'!D$231*D$11*'Input'!$E$58/'Input'!$F$58*(1-'Contrib'!D$92)</f>
        <v>0</v>
      </c>
      <c r="E27" s="6">
        <f>100*'AMD'!E41*'LAFs'!E$231*E$11*'Input'!$E$58/'Input'!$F$58*(1-'Contrib'!E$92)</f>
        <v>0</v>
      </c>
      <c r="F27" s="6">
        <f>100*'AMD'!F41*'LAFs'!F$231*F$11*'Input'!$E$58/'Input'!$F$58*(1-'Contrib'!F$92)</f>
        <v>0</v>
      </c>
      <c r="G27" s="6">
        <f>100*'AMD'!G41*'LAFs'!G$231*G$11*'Input'!$E$58/'Input'!$F$58*(1-'Contrib'!G$92)</f>
        <v>0</v>
      </c>
      <c r="H27" s="6">
        <f>100*'AMD'!H41*'LAFs'!H$231*H$11*'Input'!$E$58/'Input'!$F$58*(1-'Contrib'!H$92)</f>
        <v>0</v>
      </c>
      <c r="I27" s="6">
        <f>100*'AMD'!I41*'LAFs'!I$231*I$11*'Input'!$E$58/'Input'!$F$58*(1-'Contrib'!I$92)</f>
        <v>0</v>
      </c>
      <c r="J27" s="6">
        <f>100*'AMD'!J41*'LAFs'!J$231*J$11*'Input'!$E$58/'Input'!$F$58*(1-'Contrib'!J$92)</f>
        <v>0</v>
      </c>
      <c r="K27" s="6">
        <f>100*'AMD'!B41*'LAFs'!B$231*K$11*'Input'!$E$58/'Input'!$F$58*(1-'Contrib'!K$92)</f>
        <v>0</v>
      </c>
      <c r="L27" s="6">
        <f>100*'AMD'!C41*'LAFs'!C$231*L$11*'Input'!$E$58/'Input'!$F$58*(1-'Contrib'!L$92)</f>
        <v>0</v>
      </c>
      <c r="M27" s="6">
        <f>100*'AMD'!D41*'LAFs'!D$231*M$11*'Input'!$E$58/'Input'!$F$58*(1-'Contrib'!M$92)</f>
        <v>0</v>
      </c>
      <c r="N27" s="6">
        <f>100*'AMD'!E41*'LAFs'!E$231*N$11*'Input'!$E$58/'Input'!$F$58*(1-'Contrib'!N$92)</f>
        <v>0</v>
      </c>
      <c r="O27" s="6">
        <f>100*'AMD'!F41*'LAFs'!F$231*O$11*'Input'!$E$58/'Input'!$F$58*(1-'Contrib'!O$92)</f>
        <v>0</v>
      </c>
      <c r="P27" s="6">
        <f>100*'AMD'!G41*'LAFs'!G$231*P$11*'Input'!$E$58/'Input'!$F$58*(1-'Contrib'!P$92)</f>
        <v>0</v>
      </c>
      <c r="Q27" s="6">
        <f>100*'AMD'!H41*'LAFs'!H$231*Q$11*'Input'!$E$58/'Input'!$F$58*(1-'Contrib'!Q$92)</f>
        <v>0</v>
      </c>
      <c r="R27" s="6">
        <f>100*'AMD'!I41*'LAFs'!I$231*R$11*'Input'!$E$58/'Input'!$F$58*(1-'Contrib'!R$92)</f>
        <v>0</v>
      </c>
      <c r="S27" s="6">
        <f>100*'AMD'!J41*'LAFs'!J$231*S$11*'Input'!$E$58/'Input'!$F$58*(1-'Contrib'!S$92)</f>
        <v>0</v>
      </c>
      <c r="T27" s="10"/>
    </row>
    <row r="28" spans="1:20">
      <c r="A28" s="11" t="s">
        <v>174</v>
      </c>
      <c r="B28" s="6">
        <f>100*'AMD'!B42*'LAFs'!B$232*B$11*'Input'!$E$58/'Input'!$F$58*(1-'Contrib'!B$93)</f>
        <v>0</v>
      </c>
      <c r="C28" s="6">
        <f>100*'AMD'!C42*'LAFs'!C$232*C$11*'Input'!$E$58/'Input'!$F$58*(1-'Contrib'!C$93)</f>
        <v>0</v>
      </c>
      <c r="D28" s="6">
        <f>100*'AMD'!D42*'LAFs'!D$232*D$11*'Input'!$E$58/'Input'!$F$58*(1-'Contrib'!D$93)</f>
        <v>0</v>
      </c>
      <c r="E28" s="6">
        <f>100*'AMD'!E42*'LAFs'!E$232*E$11*'Input'!$E$58/'Input'!$F$58*(1-'Contrib'!E$93)</f>
        <v>0</v>
      </c>
      <c r="F28" s="6">
        <f>100*'AMD'!F42*'LAFs'!F$232*F$11*'Input'!$E$58/'Input'!$F$58*(1-'Contrib'!F$93)</f>
        <v>0</v>
      </c>
      <c r="G28" s="6">
        <f>100*'AMD'!G42*'LAFs'!G$232*G$11*'Input'!$E$58/'Input'!$F$58*(1-'Contrib'!G$93)</f>
        <v>0</v>
      </c>
      <c r="H28" s="6">
        <f>100*'AMD'!H42*'LAFs'!H$232*H$11*'Input'!$E$58/'Input'!$F$58*(1-'Contrib'!H$93)</f>
        <v>0</v>
      </c>
      <c r="I28" s="6">
        <f>100*'AMD'!I42*'LAFs'!I$232*I$11*'Input'!$E$58/'Input'!$F$58*(1-'Contrib'!I$93)</f>
        <v>0</v>
      </c>
      <c r="J28" s="6">
        <f>100*'AMD'!J42*'LAFs'!J$232*J$11*'Input'!$E$58/'Input'!$F$58*(1-'Contrib'!J$93)</f>
        <v>0</v>
      </c>
      <c r="K28" s="6">
        <f>100*'AMD'!B42*'LAFs'!B$232*K$11*'Input'!$E$58/'Input'!$F$58*(1-'Contrib'!K$93)</f>
        <v>0</v>
      </c>
      <c r="L28" s="6">
        <f>100*'AMD'!C42*'LAFs'!C$232*L$11*'Input'!$E$58/'Input'!$F$58*(1-'Contrib'!L$93)</f>
        <v>0</v>
      </c>
      <c r="M28" s="6">
        <f>100*'AMD'!D42*'LAFs'!D$232*M$11*'Input'!$E$58/'Input'!$F$58*(1-'Contrib'!M$93)</f>
        <v>0</v>
      </c>
      <c r="N28" s="6">
        <f>100*'AMD'!E42*'LAFs'!E$232*N$11*'Input'!$E$58/'Input'!$F$58*(1-'Contrib'!N$93)</f>
        <v>0</v>
      </c>
      <c r="O28" s="6">
        <f>100*'AMD'!F42*'LAFs'!F$232*O$11*'Input'!$E$58/'Input'!$F$58*(1-'Contrib'!O$93)</f>
        <v>0</v>
      </c>
      <c r="P28" s="6">
        <f>100*'AMD'!G42*'LAFs'!G$232*P$11*'Input'!$E$58/'Input'!$F$58*(1-'Contrib'!P$93)</f>
        <v>0</v>
      </c>
      <c r="Q28" s="6">
        <f>100*'AMD'!H42*'LAFs'!H$232*Q$11*'Input'!$E$58/'Input'!$F$58*(1-'Contrib'!Q$93)</f>
        <v>0</v>
      </c>
      <c r="R28" s="6">
        <f>100*'AMD'!I42*'LAFs'!I$232*R$11*'Input'!$E$58/'Input'!$F$58*(1-'Contrib'!R$93)</f>
        <v>0</v>
      </c>
      <c r="S28" s="6">
        <f>100*'AMD'!J42*'LAFs'!J$232*S$11*'Input'!$E$58/'Input'!$F$58*(1-'Contrib'!S$93)</f>
        <v>0</v>
      </c>
      <c r="T28" s="10"/>
    </row>
    <row r="29" spans="1:20">
      <c r="A29" s="11" t="s">
        <v>175</v>
      </c>
      <c r="B29" s="6">
        <f>100*'AMD'!B43*'LAFs'!B$233*B$11*'Input'!$E$58/'Input'!$F$58*(1-'Contrib'!B$94)</f>
        <v>0</v>
      </c>
      <c r="C29" s="6">
        <f>100*'AMD'!C43*'LAFs'!C$233*C$11*'Input'!$E$58/'Input'!$F$58*(1-'Contrib'!C$94)</f>
        <v>0</v>
      </c>
      <c r="D29" s="6">
        <f>100*'AMD'!D43*'LAFs'!D$233*D$11*'Input'!$E$58/'Input'!$F$58*(1-'Contrib'!D$94)</f>
        <v>0</v>
      </c>
      <c r="E29" s="6">
        <f>100*'AMD'!E43*'LAFs'!E$233*E$11*'Input'!$E$58/'Input'!$F$58*(1-'Contrib'!E$94)</f>
        <v>0</v>
      </c>
      <c r="F29" s="6">
        <f>100*'AMD'!F43*'LAFs'!F$233*F$11*'Input'!$E$58/'Input'!$F$58*(1-'Contrib'!F$94)</f>
        <v>0</v>
      </c>
      <c r="G29" s="6">
        <f>100*'AMD'!G43*'LAFs'!G$233*G$11*'Input'!$E$58/'Input'!$F$58*(1-'Contrib'!G$94)</f>
        <v>0</v>
      </c>
      <c r="H29" s="6">
        <f>100*'AMD'!H43*'LAFs'!H$233*H$11*'Input'!$E$58/'Input'!$F$58*(1-'Contrib'!H$94)</f>
        <v>0</v>
      </c>
      <c r="I29" s="6">
        <f>100*'AMD'!I43*'LAFs'!I$233*I$11*'Input'!$E$58/'Input'!$F$58*(1-'Contrib'!I$94)</f>
        <v>0</v>
      </c>
      <c r="J29" s="6">
        <f>100*'AMD'!J43*'LAFs'!J$233*J$11*'Input'!$E$58/'Input'!$F$58*(1-'Contrib'!J$94)</f>
        <v>0</v>
      </c>
      <c r="K29" s="6">
        <f>100*'AMD'!B43*'LAFs'!B$233*K$11*'Input'!$E$58/'Input'!$F$58*(1-'Contrib'!K$94)</f>
        <v>0</v>
      </c>
      <c r="L29" s="6">
        <f>100*'AMD'!C43*'LAFs'!C$233*L$11*'Input'!$E$58/'Input'!$F$58*(1-'Contrib'!L$94)</f>
        <v>0</v>
      </c>
      <c r="M29" s="6">
        <f>100*'AMD'!D43*'LAFs'!D$233*M$11*'Input'!$E$58/'Input'!$F$58*(1-'Contrib'!M$94)</f>
        <v>0</v>
      </c>
      <c r="N29" s="6">
        <f>100*'AMD'!E43*'LAFs'!E$233*N$11*'Input'!$E$58/'Input'!$F$58*(1-'Contrib'!N$94)</f>
        <v>0</v>
      </c>
      <c r="O29" s="6">
        <f>100*'AMD'!F43*'LAFs'!F$233*O$11*'Input'!$E$58/'Input'!$F$58*(1-'Contrib'!O$94)</f>
        <v>0</v>
      </c>
      <c r="P29" s="6">
        <f>100*'AMD'!G43*'LAFs'!G$233*P$11*'Input'!$E$58/'Input'!$F$58*(1-'Contrib'!P$94)</f>
        <v>0</v>
      </c>
      <c r="Q29" s="6">
        <f>100*'AMD'!H43*'LAFs'!H$233*Q$11*'Input'!$E$58/'Input'!$F$58*(1-'Contrib'!Q$94)</f>
        <v>0</v>
      </c>
      <c r="R29" s="6">
        <f>100*'AMD'!I43*'LAFs'!I$233*R$11*'Input'!$E$58/'Input'!$F$58*(1-'Contrib'!R$94)</f>
        <v>0</v>
      </c>
      <c r="S29" s="6">
        <f>100*'AMD'!J43*'LAFs'!J$233*S$11*'Input'!$E$58/'Input'!$F$58*(1-'Contrib'!S$94)</f>
        <v>0</v>
      </c>
      <c r="T29" s="10"/>
    </row>
    <row r="30" spans="1:20">
      <c r="A30" s="11" t="s">
        <v>211</v>
      </c>
      <c r="B30" s="6">
        <f>100*'AMD'!B44*'LAFs'!B$234*B$11*'Input'!$E$58/'Input'!$F$58*(1-'Contrib'!B$95)</f>
        <v>0</v>
      </c>
      <c r="C30" s="6">
        <f>100*'AMD'!C44*'LAFs'!C$234*C$11*'Input'!$E$58/'Input'!$F$58*(1-'Contrib'!C$95)</f>
        <v>0</v>
      </c>
      <c r="D30" s="6">
        <f>100*'AMD'!D44*'LAFs'!D$234*D$11*'Input'!$E$58/'Input'!$F$58*(1-'Contrib'!D$95)</f>
        <v>0</v>
      </c>
      <c r="E30" s="6">
        <f>100*'AMD'!E44*'LAFs'!E$234*E$11*'Input'!$E$58/'Input'!$F$58*(1-'Contrib'!E$95)</f>
        <v>0</v>
      </c>
      <c r="F30" s="6">
        <f>100*'AMD'!F44*'LAFs'!F$234*F$11*'Input'!$E$58/'Input'!$F$58*(1-'Contrib'!F$95)</f>
        <v>0</v>
      </c>
      <c r="G30" s="6">
        <f>100*'AMD'!G44*'LAFs'!G$234*G$11*'Input'!$E$58/'Input'!$F$58*(1-'Contrib'!G$95)</f>
        <v>0</v>
      </c>
      <c r="H30" s="6">
        <f>100*'AMD'!H44*'LAFs'!H$234*H$11*'Input'!$E$58/'Input'!$F$58*(1-'Contrib'!H$95)</f>
        <v>0</v>
      </c>
      <c r="I30" s="6">
        <f>100*'AMD'!I44*'LAFs'!I$234*I$11*'Input'!$E$58/'Input'!$F$58*(1-'Contrib'!I$95)</f>
        <v>0</v>
      </c>
      <c r="J30" s="6">
        <f>100*'AMD'!J44*'LAFs'!J$234*J$11*'Input'!$E$58/'Input'!$F$58*(1-'Contrib'!J$95)</f>
        <v>0</v>
      </c>
      <c r="K30" s="6">
        <f>100*'AMD'!B44*'LAFs'!B$234*K$11*'Input'!$E$58/'Input'!$F$58*(1-'Contrib'!K$95)</f>
        <v>0</v>
      </c>
      <c r="L30" s="6">
        <f>100*'AMD'!C44*'LAFs'!C$234*L$11*'Input'!$E$58/'Input'!$F$58*(1-'Contrib'!L$95)</f>
        <v>0</v>
      </c>
      <c r="M30" s="6">
        <f>100*'AMD'!D44*'LAFs'!D$234*M$11*'Input'!$E$58/'Input'!$F$58*(1-'Contrib'!M$95)</f>
        <v>0</v>
      </c>
      <c r="N30" s="6">
        <f>100*'AMD'!E44*'LAFs'!E$234*N$11*'Input'!$E$58/'Input'!$F$58*(1-'Contrib'!N$95)</f>
        <v>0</v>
      </c>
      <c r="O30" s="6">
        <f>100*'AMD'!F44*'LAFs'!F$234*O$11*'Input'!$E$58/'Input'!$F$58*(1-'Contrib'!O$95)</f>
        <v>0</v>
      </c>
      <c r="P30" s="6">
        <f>100*'AMD'!G44*'LAFs'!G$234*P$11*'Input'!$E$58/'Input'!$F$58*(1-'Contrib'!P$95)</f>
        <v>0</v>
      </c>
      <c r="Q30" s="6">
        <f>100*'AMD'!H44*'LAFs'!H$234*Q$11*'Input'!$E$58/'Input'!$F$58*(1-'Contrib'!Q$95)</f>
        <v>0</v>
      </c>
      <c r="R30" s="6">
        <f>100*'AMD'!I44*'LAFs'!I$234*R$11*'Input'!$E$58/'Input'!$F$58*(1-'Contrib'!R$95)</f>
        <v>0</v>
      </c>
      <c r="S30" s="6">
        <f>100*'AMD'!J44*'LAFs'!J$234*S$11*'Input'!$E$58/'Input'!$F$58*(1-'Contrib'!S$95)</f>
        <v>0</v>
      </c>
      <c r="T30" s="10"/>
    </row>
    <row r="31" spans="1:20">
      <c r="A31" s="11" t="s">
        <v>176</v>
      </c>
      <c r="B31" s="6">
        <f>100*'AMD'!B45*'LAFs'!B$235*B$11*'Input'!$E$58/'Input'!$F$58*(1-'Contrib'!B$96)</f>
        <v>0</v>
      </c>
      <c r="C31" s="6">
        <f>100*'AMD'!C45*'LAFs'!C$235*C$11*'Input'!$E$58/'Input'!$F$58*(1-'Contrib'!C$96)</f>
        <v>0</v>
      </c>
      <c r="D31" s="6">
        <f>100*'AMD'!D45*'LAFs'!D$235*D$11*'Input'!$E$58/'Input'!$F$58*(1-'Contrib'!D$96)</f>
        <v>0</v>
      </c>
      <c r="E31" s="6">
        <f>100*'AMD'!E45*'LAFs'!E$235*E$11*'Input'!$E$58/'Input'!$F$58*(1-'Contrib'!E$96)</f>
        <v>0</v>
      </c>
      <c r="F31" s="6">
        <f>100*'AMD'!F45*'LAFs'!F$235*F$11*'Input'!$E$58/'Input'!$F$58*(1-'Contrib'!F$96)</f>
        <v>0</v>
      </c>
      <c r="G31" s="6">
        <f>100*'AMD'!G45*'LAFs'!G$235*G$11*'Input'!$E$58/'Input'!$F$58*(1-'Contrib'!G$96)</f>
        <v>0</v>
      </c>
      <c r="H31" s="6">
        <f>100*'AMD'!H45*'LAFs'!H$235*H$11*'Input'!$E$58/'Input'!$F$58*(1-'Contrib'!H$96)</f>
        <v>0</v>
      </c>
      <c r="I31" s="6">
        <f>100*'AMD'!I45*'LAFs'!I$235*I$11*'Input'!$E$58/'Input'!$F$58*(1-'Contrib'!I$96)</f>
        <v>0</v>
      </c>
      <c r="J31" s="6">
        <f>100*'AMD'!J45*'LAFs'!J$235*J$11*'Input'!$E$58/'Input'!$F$58*(1-'Contrib'!J$96)</f>
        <v>0</v>
      </c>
      <c r="K31" s="6">
        <f>100*'AMD'!B45*'LAFs'!B$235*K$11*'Input'!$E$58/'Input'!$F$58*(1-'Contrib'!K$96)</f>
        <v>0</v>
      </c>
      <c r="L31" s="6">
        <f>100*'AMD'!C45*'LAFs'!C$235*L$11*'Input'!$E$58/'Input'!$F$58*(1-'Contrib'!L$96)</f>
        <v>0</v>
      </c>
      <c r="M31" s="6">
        <f>100*'AMD'!D45*'LAFs'!D$235*M$11*'Input'!$E$58/'Input'!$F$58*(1-'Contrib'!M$96)</f>
        <v>0</v>
      </c>
      <c r="N31" s="6">
        <f>100*'AMD'!E45*'LAFs'!E$235*N$11*'Input'!$E$58/'Input'!$F$58*(1-'Contrib'!N$96)</f>
        <v>0</v>
      </c>
      <c r="O31" s="6">
        <f>100*'AMD'!F45*'LAFs'!F$235*O$11*'Input'!$E$58/'Input'!$F$58*(1-'Contrib'!O$96)</f>
        <v>0</v>
      </c>
      <c r="P31" s="6">
        <f>100*'AMD'!G45*'LAFs'!G$235*P$11*'Input'!$E$58/'Input'!$F$58*(1-'Contrib'!P$96)</f>
        <v>0</v>
      </c>
      <c r="Q31" s="6">
        <f>100*'AMD'!H45*'LAFs'!H$235*Q$11*'Input'!$E$58/'Input'!$F$58*(1-'Contrib'!Q$96)</f>
        <v>0</v>
      </c>
      <c r="R31" s="6">
        <f>100*'AMD'!I45*'LAFs'!I$235*R$11*'Input'!$E$58/'Input'!$F$58*(1-'Contrib'!R$96)</f>
        <v>0</v>
      </c>
      <c r="S31" s="6">
        <f>100*'AMD'!J45*'LAFs'!J$235*S$11*'Input'!$E$58/'Input'!$F$58*(1-'Contrib'!S$96)</f>
        <v>0</v>
      </c>
      <c r="T31" s="10"/>
    </row>
    <row r="32" spans="1:20">
      <c r="A32" s="11" t="s">
        <v>177</v>
      </c>
      <c r="B32" s="6">
        <f>100*'AMD'!B46*'LAFs'!B$236*B$11*'Input'!$E$58/'Input'!$F$58*(1-'Contrib'!B$97)</f>
        <v>0</v>
      </c>
      <c r="C32" s="6">
        <f>100*'AMD'!C46*'LAFs'!C$236*C$11*'Input'!$E$58/'Input'!$F$58*(1-'Contrib'!C$97)</f>
        <v>0</v>
      </c>
      <c r="D32" s="6">
        <f>100*'AMD'!D46*'LAFs'!D$236*D$11*'Input'!$E$58/'Input'!$F$58*(1-'Contrib'!D$97)</f>
        <v>0</v>
      </c>
      <c r="E32" s="6">
        <f>100*'AMD'!E46*'LAFs'!E$236*E$11*'Input'!$E$58/'Input'!$F$58*(1-'Contrib'!E$97)</f>
        <v>0</v>
      </c>
      <c r="F32" s="6">
        <f>100*'AMD'!F46*'LAFs'!F$236*F$11*'Input'!$E$58/'Input'!$F$58*(1-'Contrib'!F$97)</f>
        <v>0</v>
      </c>
      <c r="G32" s="6">
        <f>100*'AMD'!G46*'LAFs'!G$236*G$11*'Input'!$E$58/'Input'!$F$58*(1-'Contrib'!G$97)</f>
        <v>0</v>
      </c>
      <c r="H32" s="6">
        <f>100*'AMD'!H46*'LAFs'!H$236*H$11*'Input'!$E$58/'Input'!$F$58*(1-'Contrib'!H$97)</f>
        <v>0</v>
      </c>
      <c r="I32" s="6">
        <f>100*'AMD'!I46*'LAFs'!I$236*I$11*'Input'!$E$58/'Input'!$F$58*(1-'Contrib'!I$97)</f>
        <v>0</v>
      </c>
      <c r="J32" s="6">
        <f>100*'AMD'!J46*'LAFs'!J$236*J$11*'Input'!$E$58/'Input'!$F$58*(1-'Contrib'!J$97)</f>
        <v>0</v>
      </c>
      <c r="K32" s="6">
        <f>100*'AMD'!B46*'LAFs'!B$236*K$11*'Input'!$E$58/'Input'!$F$58*(1-'Contrib'!K$97)</f>
        <v>0</v>
      </c>
      <c r="L32" s="6">
        <f>100*'AMD'!C46*'LAFs'!C$236*L$11*'Input'!$E$58/'Input'!$F$58*(1-'Contrib'!L$97)</f>
        <v>0</v>
      </c>
      <c r="M32" s="6">
        <f>100*'AMD'!D46*'LAFs'!D$236*M$11*'Input'!$E$58/'Input'!$F$58*(1-'Contrib'!M$97)</f>
        <v>0</v>
      </c>
      <c r="N32" s="6">
        <f>100*'AMD'!E46*'LAFs'!E$236*N$11*'Input'!$E$58/'Input'!$F$58*(1-'Contrib'!N$97)</f>
        <v>0</v>
      </c>
      <c r="O32" s="6">
        <f>100*'AMD'!F46*'LAFs'!F$236*O$11*'Input'!$E$58/'Input'!$F$58*(1-'Contrib'!O$97)</f>
        <v>0</v>
      </c>
      <c r="P32" s="6">
        <f>100*'AMD'!G46*'LAFs'!G$236*P$11*'Input'!$E$58/'Input'!$F$58*(1-'Contrib'!P$97)</f>
        <v>0</v>
      </c>
      <c r="Q32" s="6">
        <f>100*'AMD'!H46*'LAFs'!H$236*Q$11*'Input'!$E$58/'Input'!$F$58*(1-'Contrib'!Q$97)</f>
        <v>0</v>
      </c>
      <c r="R32" s="6">
        <f>100*'AMD'!I46*'LAFs'!I$236*R$11*'Input'!$E$58/'Input'!$F$58*(1-'Contrib'!R$97)</f>
        <v>0</v>
      </c>
      <c r="S32" s="6">
        <f>100*'AMD'!J46*'LAFs'!J$236*S$11*'Input'!$E$58/'Input'!$F$58*(1-'Contrib'!S$97)</f>
        <v>0</v>
      </c>
      <c r="T32" s="10"/>
    </row>
    <row r="33" spans="1:20">
      <c r="A33" s="11" t="s">
        <v>191</v>
      </c>
      <c r="B33" s="6">
        <f>100*'AMD'!B47*'LAFs'!B$237*B$11*'Input'!$E$58/'Input'!$F$58*(1-'Contrib'!B$98)</f>
        <v>0</v>
      </c>
      <c r="C33" s="6">
        <f>100*'AMD'!C47*'LAFs'!C$237*C$11*'Input'!$E$58/'Input'!$F$58*(1-'Contrib'!C$98)</f>
        <v>0</v>
      </c>
      <c r="D33" s="6">
        <f>100*'AMD'!D47*'LAFs'!D$237*D$11*'Input'!$E$58/'Input'!$F$58*(1-'Contrib'!D$98)</f>
        <v>0</v>
      </c>
      <c r="E33" s="6">
        <f>100*'AMD'!E47*'LAFs'!E$237*E$11*'Input'!$E$58/'Input'!$F$58*(1-'Contrib'!E$98)</f>
        <v>0</v>
      </c>
      <c r="F33" s="6">
        <f>100*'AMD'!F47*'LAFs'!F$237*F$11*'Input'!$E$58/'Input'!$F$58*(1-'Contrib'!F$98)</f>
        <v>0</v>
      </c>
      <c r="G33" s="6">
        <f>100*'AMD'!G47*'LAFs'!G$237*G$11*'Input'!$E$58/'Input'!$F$58*(1-'Contrib'!G$98)</f>
        <v>0</v>
      </c>
      <c r="H33" s="6">
        <f>100*'AMD'!H47*'LAFs'!H$237*H$11*'Input'!$E$58/'Input'!$F$58*(1-'Contrib'!H$98)</f>
        <v>0</v>
      </c>
      <c r="I33" s="6">
        <f>100*'AMD'!I47*'LAFs'!I$237*I$11*'Input'!$E$58/'Input'!$F$58*(1-'Contrib'!I$98)</f>
        <v>0</v>
      </c>
      <c r="J33" s="6">
        <f>100*'AMD'!J47*'LAFs'!J$237*J$11*'Input'!$E$58/'Input'!$F$58*(1-'Contrib'!J$98)</f>
        <v>0</v>
      </c>
      <c r="K33" s="6">
        <f>100*'AMD'!B47*'LAFs'!B$237*K$11*'Input'!$E$58/'Input'!$F$58*(1-'Contrib'!K$98)</f>
        <v>0</v>
      </c>
      <c r="L33" s="6">
        <f>100*'AMD'!C47*'LAFs'!C$237*L$11*'Input'!$E$58/'Input'!$F$58*(1-'Contrib'!L$98)</f>
        <v>0</v>
      </c>
      <c r="M33" s="6">
        <f>100*'AMD'!D47*'LAFs'!D$237*M$11*'Input'!$E$58/'Input'!$F$58*(1-'Contrib'!M$98)</f>
        <v>0</v>
      </c>
      <c r="N33" s="6">
        <f>100*'AMD'!E47*'LAFs'!E$237*N$11*'Input'!$E$58/'Input'!$F$58*(1-'Contrib'!N$98)</f>
        <v>0</v>
      </c>
      <c r="O33" s="6">
        <f>100*'AMD'!F47*'LAFs'!F$237*O$11*'Input'!$E$58/'Input'!$F$58*(1-'Contrib'!O$98)</f>
        <v>0</v>
      </c>
      <c r="P33" s="6">
        <f>100*'AMD'!G47*'LAFs'!G$237*P$11*'Input'!$E$58/'Input'!$F$58*(1-'Contrib'!P$98)</f>
        <v>0</v>
      </c>
      <c r="Q33" s="6">
        <f>100*'AMD'!H47*'LAFs'!H$237*Q$11*'Input'!$E$58/'Input'!$F$58*(1-'Contrib'!Q$98)</f>
        <v>0</v>
      </c>
      <c r="R33" s="6">
        <f>100*'AMD'!I47*'LAFs'!I$237*R$11*'Input'!$E$58/'Input'!$F$58*(1-'Contrib'!R$98)</f>
        <v>0</v>
      </c>
      <c r="S33" s="6">
        <f>100*'AMD'!J47*'LAFs'!J$237*S$11*'Input'!$E$58/'Input'!$F$58*(1-'Contrib'!S$98)</f>
        <v>0</v>
      </c>
      <c r="T33" s="10"/>
    </row>
    <row r="34" spans="1:20">
      <c r="A34" s="11" t="s">
        <v>178</v>
      </c>
      <c r="B34" s="6">
        <f>100*'AMD'!B48*'LAFs'!B$238*B$11*'Input'!$E$58/'Input'!$F$58*(1-'Contrib'!B$99)</f>
        <v>0</v>
      </c>
      <c r="C34" s="6">
        <f>100*'AMD'!C48*'LAFs'!C$238*C$11*'Input'!$E$58/'Input'!$F$58*(1-'Contrib'!C$99)</f>
        <v>0</v>
      </c>
      <c r="D34" s="6">
        <f>100*'AMD'!D48*'LAFs'!D$238*D$11*'Input'!$E$58/'Input'!$F$58*(1-'Contrib'!D$99)</f>
        <v>0</v>
      </c>
      <c r="E34" s="6">
        <f>100*'AMD'!E48*'LAFs'!E$238*E$11*'Input'!$E$58/'Input'!$F$58*(1-'Contrib'!E$99)</f>
        <v>0</v>
      </c>
      <c r="F34" s="6">
        <f>100*'AMD'!F48*'LAFs'!F$238*F$11*'Input'!$E$58/'Input'!$F$58*(1-'Contrib'!F$99)</f>
        <v>0</v>
      </c>
      <c r="G34" s="6">
        <f>100*'AMD'!G48*'LAFs'!G$238*G$11*'Input'!$E$58/'Input'!$F$58*(1-'Contrib'!G$99)</f>
        <v>0</v>
      </c>
      <c r="H34" s="6">
        <f>100*'AMD'!H48*'LAFs'!H$238*H$11*'Input'!$E$58/'Input'!$F$58*(1-'Contrib'!H$99)</f>
        <v>0</v>
      </c>
      <c r="I34" s="6">
        <f>100*'AMD'!I48*'LAFs'!I$238*I$11*'Input'!$E$58/'Input'!$F$58*(1-'Contrib'!I$99)</f>
        <v>0</v>
      </c>
      <c r="J34" s="6">
        <f>100*'AMD'!J48*'LAFs'!J$238*J$11*'Input'!$E$58/'Input'!$F$58*(1-'Contrib'!J$99)</f>
        <v>0</v>
      </c>
      <c r="K34" s="6">
        <f>100*'AMD'!B48*'LAFs'!B$238*K$11*'Input'!$E$58/'Input'!$F$58*(1-'Contrib'!K$99)</f>
        <v>0</v>
      </c>
      <c r="L34" s="6">
        <f>100*'AMD'!C48*'LAFs'!C$238*L$11*'Input'!$E$58/'Input'!$F$58*(1-'Contrib'!L$99)</f>
        <v>0</v>
      </c>
      <c r="M34" s="6">
        <f>100*'AMD'!D48*'LAFs'!D$238*M$11*'Input'!$E$58/'Input'!$F$58*(1-'Contrib'!M$99)</f>
        <v>0</v>
      </c>
      <c r="N34" s="6">
        <f>100*'AMD'!E48*'LAFs'!E$238*N$11*'Input'!$E$58/'Input'!$F$58*(1-'Contrib'!N$99)</f>
        <v>0</v>
      </c>
      <c r="O34" s="6">
        <f>100*'AMD'!F48*'LAFs'!F$238*O$11*'Input'!$E$58/'Input'!$F$58*(1-'Contrib'!O$99)</f>
        <v>0</v>
      </c>
      <c r="P34" s="6">
        <f>100*'AMD'!G48*'LAFs'!G$238*P$11*'Input'!$E$58/'Input'!$F$58*(1-'Contrib'!P$99)</f>
        <v>0</v>
      </c>
      <c r="Q34" s="6">
        <f>100*'AMD'!H48*'LAFs'!H$238*Q$11*'Input'!$E$58/'Input'!$F$58*(1-'Contrib'!Q$99)</f>
        <v>0</v>
      </c>
      <c r="R34" s="6">
        <f>100*'AMD'!I48*'LAFs'!I$238*R$11*'Input'!$E$58/'Input'!$F$58*(1-'Contrib'!R$99)</f>
        <v>0</v>
      </c>
      <c r="S34" s="6">
        <f>100*'AMD'!J48*'LAFs'!J$238*S$11*'Input'!$E$58/'Input'!$F$58*(1-'Contrib'!S$99)</f>
        <v>0</v>
      </c>
      <c r="T34" s="10"/>
    </row>
    <row r="35" spans="1:20">
      <c r="A35" s="11" t="s">
        <v>179</v>
      </c>
      <c r="B35" s="6">
        <f>100*'AMD'!B49*'LAFs'!B$239*B$11*'Input'!$E$58/'Input'!$F$58*(1-'Contrib'!B$100)</f>
        <v>0</v>
      </c>
      <c r="C35" s="6">
        <f>100*'AMD'!C49*'LAFs'!C$239*C$11*'Input'!$E$58/'Input'!$F$58*(1-'Contrib'!C$100)</f>
        <v>0</v>
      </c>
      <c r="D35" s="6">
        <f>100*'AMD'!D49*'LAFs'!D$239*D$11*'Input'!$E$58/'Input'!$F$58*(1-'Contrib'!D$100)</f>
        <v>0</v>
      </c>
      <c r="E35" s="6">
        <f>100*'AMD'!E49*'LAFs'!E$239*E$11*'Input'!$E$58/'Input'!$F$58*(1-'Contrib'!E$100)</f>
        <v>0</v>
      </c>
      <c r="F35" s="6">
        <f>100*'AMD'!F49*'LAFs'!F$239*F$11*'Input'!$E$58/'Input'!$F$58*(1-'Contrib'!F$100)</f>
        <v>0</v>
      </c>
      <c r="G35" s="6">
        <f>100*'AMD'!G49*'LAFs'!G$239*G$11*'Input'!$E$58/'Input'!$F$58*(1-'Contrib'!G$100)</f>
        <v>0</v>
      </c>
      <c r="H35" s="6">
        <f>100*'AMD'!H49*'LAFs'!H$239*H$11*'Input'!$E$58/'Input'!$F$58*(1-'Contrib'!H$100)</f>
        <v>0</v>
      </c>
      <c r="I35" s="6">
        <f>100*'AMD'!I49*'LAFs'!I$239*I$11*'Input'!$E$58/'Input'!$F$58*(1-'Contrib'!I$100)</f>
        <v>0</v>
      </c>
      <c r="J35" s="6">
        <f>100*'AMD'!J49*'LAFs'!J$239*J$11*'Input'!$E$58/'Input'!$F$58*(1-'Contrib'!J$100)</f>
        <v>0</v>
      </c>
      <c r="K35" s="6">
        <f>100*'AMD'!B49*'LAFs'!B$239*K$11*'Input'!$E$58/'Input'!$F$58*(1-'Contrib'!K$100)</f>
        <v>0</v>
      </c>
      <c r="L35" s="6">
        <f>100*'AMD'!C49*'LAFs'!C$239*L$11*'Input'!$E$58/'Input'!$F$58*(1-'Contrib'!L$100)</f>
        <v>0</v>
      </c>
      <c r="M35" s="6">
        <f>100*'AMD'!D49*'LAFs'!D$239*M$11*'Input'!$E$58/'Input'!$F$58*(1-'Contrib'!M$100)</f>
        <v>0</v>
      </c>
      <c r="N35" s="6">
        <f>100*'AMD'!E49*'LAFs'!E$239*N$11*'Input'!$E$58/'Input'!$F$58*(1-'Contrib'!N$100)</f>
        <v>0</v>
      </c>
      <c r="O35" s="6">
        <f>100*'AMD'!F49*'LAFs'!F$239*O$11*'Input'!$E$58/'Input'!$F$58*(1-'Contrib'!O$100)</f>
        <v>0</v>
      </c>
      <c r="P35" s="6">
        <f>100*'AMD'!G49*'LAFs'!G$239*P$11*'Input'!$E$58/'Input'!$F$58*(1-'Contrib'!P$100)</f>
        <v>0</v>
      </c>
      <c r="Q35" s="6">
        <f>100*'AMD'!H49*'LAFs'!H$239*Q$11*'Input'!$E$58/'Input'!$F$58*(1-'Contrib'!Q$100)</f>
        <v>0</v>
      </c>
      <c r="R35" s="6">
        <f>100*'AMD'!I49*'LAFs'!I$239*R$11*'Input'!$E$58/'Input'!$F$58*(1-'Contrib'!R$100)</f>
        <v>0</v>
      </c>
      <c r="S35" s="6">
        <f>100*'AMD'!J49*'LAFs'!J$239*S$11*'Input'!$E$58/'Input'!$F$58*(1-'Contrib'!S$100)</f>
        <v>0</v>
      </c>
      <c r="T35" s="10"/>
    </row>
    <row r="36" spans="1:20">
      <c r="A36" s="11" t="s">
        <v>192</v>
      </c>
      <c r="B36" s="6">
        <f>100*'AMD'!B50*'LAFs'!B$240*B$11*'Input'!$E$58/'Input'!$F$58*(1-'Contrib'!B$101)</f>
        <v>0</v>
      </c>
      <c r="C36" s="6">
        <f>100*'AMD'!C50*'LAFs'!C$240*C$11*'Input'!$E$58/'Input'!$F$58*(1-'Contrib'!C$101)</f>
        <v>0</v>
      </c>
      <c r="D36" s="6">
        <f>100*'AMD'!D50*'LAFs'!D$240*D$11*'Input'!$E$58/'Input'!$F$58*(1-'Contrib'!D$101)</f>
        <v>0</v>
      </c>
      <c r="E36" s="6">
        <f>100*'AMD'!E50*'LAFs'!E$240*E$11*'Input'!$E$58/'Input'!$F$58*(1-'Contrib'!E$101)</f>
        <v>0</v>
      </c>
      <c r="F36" s="6">
        <f>100*'AMD'!F50*'LAFs'!F$240*F$11*'Input'!$E$58/'Input'!$F$58*(1-'Contrib'!F$101)</f>
        <v>0</v>
      </c>
      <c r="G36" s="6">
        <f>100*'AMD'!G50*'LAFs'!G$240*G$11*'Input'!$E$58/'Input'!$F$58*(1-'Contrib'!G$101)</f>
        <v>0</v>
      </c>
      <c r="H36" s="6">
        <f>100*'AMD'!H50*'LAFs'!H$240*H$11*'Input'!$E$58/'Input'!$F$58*(1-'Contrib'!H$101)</f>
        <v>0</v>
      </c>
      <c r="I36" s="6">
        <f>100*'AMD'!I50*'LAFs'!I$240*I$11*'Input'!$E$58/'Input'!$F$58*(1-'Contrib'!I$101)</f>
        <v>0</v>
      </c>
      <c r="J36" s="6">
        <f>100*'AMD'!J50*'LAFs'!J$240*J$11*'Input'!$E$58/'Input'!$F$58*(1-'Contrib'!J$101)</f>
        <v>0</v>
      </c>
      <c r="K36" s="6">
        <f>100*'AMD'!B50*'LAFs'!B$240*K$11*'Input'!$E$58/'Input'!$F$58*(1-'Contrib'!K$101)</f>
        <v>0</v>
      </c>
      <c r="L36" s="6">
        <f>100*'AMD'!C50*'LAFs'!C$240*L$11*'Input'!$E$58/'Input'!$F$58*(1-'Contrib'!L$101)</f>
        <v>0</v>
      </c>
      <c r="M36" s="6">
        <f>100*'AMD'!D50*'LAFs'!D$240*M$11*'Input'!$E$58/'Input'!$F$58*(1-'Contrib'!M$101)</f>
        <v>0</v>
      </c>
      <c r="N36" s="6">
        <f>100*'AMD'!E50*'LAFs'!E$240*N$11*'Input'!$E$58/'Input'!$F$58*(1-'Contrib'!N$101)</f>
        <v>0</v>
      </c>
      <c r="O36" s="6">
        <f>100*'AMD'!F50*'LAFs'!F$240*O$11*'Input'!$E$58/'Input'!$F$58*(1-'Contrib'!O$101)</f>
        <v>0</v>
      </c>
      <c r="P36" s="6">
        <f>100*'AMD'!G50*'LAFs'!G$240*P$11*'Input'!$E$58/'Input'!$F$58*(1-'Contrib'!P$101)</f>
        <v>0</v>
      </c>
      <c r="Q36" s="6">
        <f>100*'AMD'!H50*'LAFs'!H$240*Q$11*'Input'!$E$58/'Input'!$F$58*(1-'Contrib'!Q$101)</f>
        <v>0</v>
      </c>
      <c r="R36" s="6">
        <f>100*'AMD'!I50*'LAFs'!I$240*R$11*'Input'!$E$58/'Input'!$F$58*(1-'Contrib'!R$101)</f>
        <v>0</v>
      </c>
      <c r="S36" s="6">
        <f>100*'AMD'!J50*'LAFs'!J$240*S$11*'Input'!$E$58/'Input'!$F$58*(1-'Contrib'!S$101)</f>
        <v>0</v>
      </c>
      <c r="T36" s="10"/>
    </row>
    <row r="37" spans="1:20">
      <c r="A37" s="11" t="s">
        <v>212</v>
      </c>
      <c r="B37" s="6">
        <f>100*'AMD'!B51*'LAFs'!B$241*B$11*'Input'!$E$58/'Input'!$F$58*(1-'Contrib'!B$102)</f>
        <v>0</v>
      </c>
      <c r="C37" s="6">
        <f>100*'AMD'!C51*'LAFs'!C$241*C$11*'Input'!$E$58/'Input'!$F$58*(1-'Contrib'!C$102)</f>
        <v>0</v>
      </c>
      <c r="D37" s="6">
        <f>100*'AMD'!D51*'LAFs'!D$241*D$11*'Input'!$E$58/'Input'!$F$58*(1-'Contrib'!D$102)</f>
        <v>0</v>
      </c>
      <c r="E37" s="6">
        <f>100*'AMD'!E51*'LAFs'!E$241*E$11*'Input'!$E$58/'Input'!$F$58*(1-'Contrib'!E$102)</f>
        <v>0</v>
      </c>
      <c r="F37" s="6">
        <f>100*'AMD'!F51*'LAFs'!F$241*F$11*'Input'!$E$58/'Input'!$F$58*(1-'Contrib'!F$102)</f>
        <v>0</v>
      </c>
      <c r="G37" s="6">
        <f>100*'AMD'!G51*'LAFs'!G$241*G$11*'Input'!$E$58/'Input'!$F$58*(1-'Contrib'!G$102)</f>
        <v>0</v>
      </c>
      <c r="H37" s="6">
        <f>100*'AMD'!H51*'LAFs'!H$241*H$11*'Input'!$E$58/'Input'!$F$58*(1-'Contrib'!H$102)</f>
        <v>0</v>
      </c>
      <c r="I37" s="6">
        <f>100*'AMD'!I51*'LAFs'!I$241*I$11*'Input'!$E$58/'Input'!$F$58*(1-'Contrib'!I$102)</f>
        <v>0</v>
      </c>
      <c r="J37" s="6">
        <f>100*'AMD'!J51*'LAFs'!J$241*J$11*'Input'!$E$58/'Input'!$F$58*(1-'Contrib'!J$102)</f>
        <v>0</v>
      </c>
      <c r="K37" s="6">
        <f>100*'AMD'!B51*'LAFs'!B$241*K$11*'Input'!$E$58/'Input'!$F$58*(1-'Contrib'!K$102)</f>
        <v>0</v>
      </c>
      <c r="L37" s="6">
        <f>100*'AMD'!C51*'LAFs'!C$241*L$11*'Input'!$E$58/'Input'!$F$58*(1-'Contrib'!L$102)</f>
        <v>0</v>
      </c>
      <c r="M37" s="6">
        <f>100*'AMD'!D51*'LAFs'!D$241*M$11*'Input'!$E$58/'Input'!$F$58*(1-'Contrib'!M$102)</f>
        <v>0</v>
      </c>
      <c r="N37" s="6">
        <f>100*'AMD'!E51*'LAFs'!E$241*N$11*'Input'!$E$58/'Input'!$F$58*(1-'Contrib'!N$102)</f>
        <v>0</v>
      </c>
      <c r="O37" s="6">
        <f>100*'AMD'!F51*'LAFs'!F$241*O$11*'Input'!$E$58/'Input'!$F$58*(1-'Contrib'!O$102)</f>
        <v>0</v>
      </c>
      <c r="P37" s="6">
        <f>100*'AMD'!G51*'LAFs'!G$241*P$11*'Input'!$E$58/'Input'!$F$58*(1-'Contrib'!P$102)</f>
        <v>0</v>
      </c>
      <c r="Q37" s="6">
        <f>100*'AMD'!H51*'LAFs'!H$241*Q$11*'Input'!$E$58/'Input'!$F$58*(1-'Contrib'!Q$102)</f>
        <v>0</v>
      </c>
      <c r="R37" s="6">
        <f>100*'AMD'!I51*'LAFs'!I$241*R$11*'Input'!$E$58/'Input'!$F$58*(1-'Contrib'!R$102)</f>
        <v>0</v>
      </c>
      <c r="S37" s="6">
        <f>100*'AMD'!J51*'LAFs'!J$241*S$11*'Input'!$E$58/'Input'!$F$58*(1-'Contrib'!S$102)</f>
        <v>0</v>
      </c>
      <c r="T37" s="10"/>
    </row>
    <row r="38" spans="1:20">
      <c r="A38" s="11" t="s">
        <v>213</v>
      </c>
      <c r="B38" s="6">
        <f>100*'AMD'!B52*'LAFs'!B$242*B$11*'Input'!$E$58/'Input'!$F$58*(1-'Contrib'!B$103)</f>
        <v>0</v>
      </c>
      <c r="C38" s="6">
        <f>100*'AMD'!C52*'LAFs'!C$242*C$11*'Input'!$E$58/'Input'!$F$58*(1-'Contrib'!C$103)</f>
        <v>0</v>
      </c>
      <c r="D38" s="6">
        <f>100*'AMD'!D52*'LAFs'!D$242*D$11*'Input'!$E$58/'Input'!$F$58*(1-'Contrib'!D$103)</f>
        <v>0</v>
      </c>
      <c r="E38" s="6">
        <f>100*'AMD'!E52*'LAFs'!E$242*E$11*'Input'!$E$58/'Input'!$F$58*(1-'Contrib'!E$103)</f>
        <v>0</v>
      </c>
      <c r="F38" s="6">
        <f>100*'AMD'!F52*'LAFs'!F$242*F$11*'Input'!$E$58/'Input'!$F$58*(1-'Contrib'!F$103)</f>
        <v>0</v>
      </c>
      <c r="G38" s="6">
        <f>100*'AMD'!G52*'LAFs'!G$242*G$11*'Input'!$E$58/'Input'!$F$58*(1-'Contrib'!G$103)</f>
        <v>0</v>
      </c>
      <c r="H38" s="6">
        <f>100*'AMD'!H52*'LAFs'!H$242*H$11*'Input'!$E$58/'Input'!$F$58*(1-'Contrib'!H$103)</f>
        <v>0</v>
      </c>
      <c r="I38" s="6">
        <f>100*'AMD'!I52*'LAFs'!I$242*I$11*'Input'!$E$58/'Input'!$F$58*(1-'Contrib'!I$103)</f>
        <v>0</v>
      </c>
      <c r="J38" s="6">
        <f>100*'AMD'!J52*'LAFs'!J$242*J$11*'Input'!$E$58/'Input'!$F$58*(1-'Contrib'!J$103)</f>
        <v>0</v>
      </c>
      <c r="K38" s="6">
        <f>100*'AMD'!B52*'LAFs'!B$242*K$11*'Input'!$E$58/'Input'!$F$58*(1-'Contrib'!K$103)</f>
        <v>0</v>
      </c>
      <c r="L38" s="6">
        <f>100*'AMD'!C52*'LAFs'!C$242*L$11*'Input'!$E$58/'Input'!$F$58*(1-'Contrib'!L$103)</f>
        <v>0</v>
      </c>
      <c r="M38" s="6">
        <f>100*'AMD'!D52*'LAFs'!D$242*M$11*'Input'!$E$58/'Input'!$F$58*(1-'Contrib'!M$103)</f>
        <v>0</v>
      </c>
      <c r="N38" s="6">
        <f>100*'AMD'!E52*'LAFs'!E$242*N$11*'Input'!$E$58/'Input'!$F$58*(1-'Contrib'!N$103)</f>
        <v>0</v>
      </c>
      <c r="O38" s="6">
        <f>100*'AMD'!F52*'LAFs'!F$242*O$11*'Input'!$E$58/'Input'!$F$58*(1-'Contrib'!O$103)</f>
        <v>0</v>
      </c>
      <c r="P38" s="6">
        <f>100*'AMD'!G52*'LAFs'!G$242*P$11*'Input'!$E$58/'Input'!$F$58*(1-'Contrib'!P$103)</f>
        <v>0</v>
      </c>
      <c r="Q38" s="6">
        <f>100*'AMD'!H52*'LAFs'!H$242*Q$11*'Input'!$E$58/'Input'!$F$58*(1-'Contrib'!Q$103)</f>
        <v>0</v>
      </c>
      <c r="R38" s="6">
        <f>100*'AMD'!I52*'LAFs'!I$242*R$11*'Input'!$E$58/'Input'!$F$58*(1-'Contrib'!R$103)</f>
        <v>0</v>
      </c>
      <c r="S38" s="6">
        <f>100*'AMD'!J52*'LAFs'!J$242*S$11*'Input'!$E$58/'Input'!$F$58*(1-'Contrib'!S$103)</f>
        <v>0</v>
      </c>
      <c r="T38" s="10"/>
    </row>
    <row r="39" spans="1:20">
      <c r="A39" s="11" t="s">
        <v>214</v>
      </c>
      <c r="B39" s="6">
        <f>100*'AMD'!B53*'LAFs'!B$243*B$11*'Input'!$E$58/'Input'!$F$58*(1-'Contrib'!B$104)</f>
        <v>0</v>
      </c>
      <c r="C39" s="6">
        <f>100*'AMD'!C53*'LAFs'!C$243*C$11*'Input'!$E$58/'Input'!$F$58*(1-'Contrib'!C$104)</f>
        <v>0</v>
      </c>
      <c r="D39" s="6">
        <f>100*'AMD'!D53*'LAFs'!D$243*D$11*'Input'!$E$58/'Input'!$F$58*(1-'Contrib'!D$104)</f>
        <v>0</v>
      </c>
      <c r="E39" s="6">
        <f>100*'AMD'!E53*'LAFs'!E$243*E$11*'Input'!$E$58/'Input'!$F$58*(1-'Contrib'!E$104)</f>
        <v>0</v>
      </c>
      <c r="F39" s="6">
        <f>100*'AMD'!F53*'LAFs'!F$243*F$11*'Input'!$E$58/'Input'!$F$58*(1-'Contrib'!F$104)</f>
        <v>0</v>
      </c>
      <c r="G39" s="6">
        <f>100*'AMD'!G53*'LAFs'!G$243*G$11*'Input'!$E$58/'Input'!$F$58*(1-'Contrib'!G$104)</f>
        <v>0</v>
      </c>
      <c r="H39" s="6">
        <f>100*'AMD'!H53*'LAFs'!H$243*H$11*'Input'!$E$58/'Input'!$F$58*(1-'Contrib'!H$104)</f>
        <v>0</v>
      </c>
      <c r="I39" s="6">
        <f>100*'AMD'!I53*'LAFs'!I$243*I$11*'Input'!$E$58/'Input'!$F$58*(1-'Contrib'!I$104)</f>
        <v>0</v>
      </c>
      <c r="J39" s="6">
        <f>100*'AMD'!J53*'LAFs'!J$243*J$11*'Input'!$E$58/'Input'!$F$58*(1-'Contrib'!J$104)</f>
        <v>0</v>
      </c>
      <c r="K39" s="6">
        <f>100*'AMD'!B53*'LAFs'!B$243*K$11*'Input'!$E$58/'Input'!$F$58*(1-'Contrib'!K$104)</f>
        <v>0</v>
      </c>
      <c r="L39" s="6">
        <f>100*'AMD'!C53*'LAFs'!C$243*L$11*'Input'!$E$58/'Input'!$F$58*(1-'Contrib'!L$104)</f>
        <v>0</v>
      </c>
      <c r="M39" s="6">
        <f>100*'AMD'!D53*'LAFs'!D$243*M$11*'Input'!$E$58/'Input'!$F$58*(1-'Contrib'!M$104)</f>
        <v>0</v>
      </c>
      <c r="N39" s="6">
        <f>100*'AMD'!E53*'LAFs'!E$243*N$11*'Input'!$E$58/'Input'!$F$58*(1-'Contrib'!N$104)</f>
        <v>0</v>
      </c>
      <c r="O39" s="6">
        <f>100*'AMD'!F53*'LAFs'!F$243*O$11*'Input'!$E$58/'Input'!$F$58*(1-'Contrib'!O$104)</f>
        <v>0</v>
      </c>
      <c r="P39" s="6">
        <f>100*'AMD'!G53*'LAFs'!G$243*P$11*'Input'!$E$58/'Input'!$F$58*(1-'Contrib'!P$104)</f>
        <v>0</v>
      </c>
      <c r="Q39" s="6">
        <f>100*'AMD'!H53*'LAFs'!H$243*Q$11*'Input'!$E$58/'Input'!$F$58*(1-'Contrib'!Q$104)</f>
        <v>0</v>
      </c>
      <c r="R39" s="6">
        <f>100*'AMD'!I53*'LAFs'!I$243*R$11*'Input'!$E$58/'Input'!$F$58*(1-'Contrib'!R$104)</f>
        <v>0</v>
      </c>
      <c r="S39" s="6">
        <f>100*'AMD'!J53*'LAFs'!J$243*S$11*'Input'!$E$58/'Input'!$F$58*(1-'Contrib'!S$104)</f>
        <v>0</v>
      </c>
      <c r="T39" s="10"/>
    </row>
    <row r="40" spans="1:20">
      <c r="A40" s="11" t="s">
        <v>215</v>
      </c>
      <c r="B40" s="6">
        <f>100*'AMD'!B54*'LAFs'!B$244*B$11*'Input'!$E$58/'Input'!$F$58*(1-'Contrib'!B$105)</f>
        <v>0</v>
      </c>
      <c r="C40" s="6">
        <f>100*'AMD'!C54*'LAFs'!C$244*C$11*'Input'!$E$58/'Input'!$F$58*(1-'Contrib'!C$105)</f>
        <v>0</v>
      </c>
      <c r="D40" s="6">
        <f>100*'AMD'!D54*'LAFs'!D$244*D$11*'Input'!$E$58/'Input'!$F$58*(1-'Contrib'!D$105)</f>
        <v>0</v>
      </c>
      <c r="E40" s="6">
        <f>100*'AMD'!E54*'LAFs'!E$244*E$11*'Input'!$E$58/'Input'!$F$58*(1-'Contrib'!E$105)</f>
        <v>0</v>
      </c>
      <c r="F40" s="6">
        <f>100*'AMD'!F54*'LAFs'!F$244*F$11*'Input'!$E$58/'Input'!$F$58*(1-'Contrib'!F$105)</f>
        <v>0</v>
      </c>
      <c r="G40" s="6">
        <f>100*'AMD'!G54*'LAFs'!G$244*G$11*'Input'!$E$58/'Input'!$F$58*(1-'Contrib'!G$105)</f>
        <v>0</v>
      </c>
      <c r="H40" s="6">
        <f>100*'AMD'!H54*'LAFs'!H$244*H$11*'Input'!$E$58/'Input'!$F$58*(1-'Contrib'!H$105)</f>
        <v>0</v>
      </c>
      <c r="I40" s="6">
        <f>100*'AMD'!I54*'LAFs'!I$244*I$11*'Input'!$E$58/'Input'!$F$58*(1-'Contrib'!I$105)</f>
        <v>0</v>
      </c>
      <c r="J40" s="6">
        <f>100*'AMD'!J54*'LAFs'!J$244*J$11*'Input'!$E$58/'Input'!$F$58*(1-'Contrib'!J$105)</f>
        <v>0</v>
      </c>
      <c r="K40" s="6">
        <f>100*'AMD'!B54*'LAFs'!B$244*K$11*'Input'!$E$58/'Input'!$F$58*(1-'Contrib'!K$105)</f>
        <v>0</v>
      </c>
      <c r="L40" s="6">
        <f>100*'AMD'!C54*'LAFs'!C$244*L$11*'Input'!$E$58/'Input'!$F$58*(1-'Contrib'!L$105)</f>
        <v>0</v>
      </c>
      <c r="M40" s="6">
        <f>100*'AMD'!D54*'LAFs'!D$244*M$11*'Input'!$E$58/'Input'!$F$58*(1-'Contrib'!M$105)</f>
        <v>0</v>
      </c>
      <c r="N40" s="6">
        <f>100*'AMD'!E54*'LAFs'!E$244*N$11*'Input'!$E$58/'Input'!$F$58*(1-'Contrib'!N$105)</f>
        <v>0</v>
      </c>
      <c r="O40" s="6">
        <f>100*'AMD'!F54*'LAFs'!F$244*O$11*'Input'!$E$58/'Input'!$F$58*(1-'Contrib'!O$105)</f>
        <v>0</v>
      </c>
      <c r="P40" s="6">
        <f>100*'AMD'!G54*'LAFs'!G$244*P$11*'Input'!$E$58/'Input'!$F$58*(1-'Contrib'!P$105)</f>
        <v>0</v>
      </c>
      <c r="Q40" s="6">
        <f>100*'AMD'!H54*'LAFs'!H$244*Q$11*'Input'!$E$58/'Input'!$F$58*(1-'Contrib'!Q$105)</f>
        <v>0</v>
      </c>
      <c r="R40" s="6">
        <f>100*'AMD'!I54*'LAFs'!I$244*R$11*'Input'!$E$58/'Input'!$F$58*(1-'Contrib'!R$105)</f>
        <v>0</v>
      </c>
      <c r="S40" s="6">
        <f>100*'AMD'!J54*'LAFs'!J$244*S$11*'Input'!$E$58/'Input'!$F$58*(1-'Contrib'!S$105)</f>
        <v>0</v>
      </c>
      <c r="T40" s="10"/>
    </row>
    <row r="41" spans="1:20">
      <c r="A41" s="11" t="s">
        <v>216</v>
      </c>
      <c r="B41" s="6">
        <f>100*'AMD'!B55*'LAFs'!B$245*B$11*'Input'!$E$58/'Input'!$F$58*(1-'Contrib'!B$106)</f>
        <v>0</v>
      </c>
      <c r="C41" s="6">
        <f>100*'AMD'!C55*'LAFs'!C$245*C$11*'Input'!$E$58/'Input'!$F$58*(1-'Contrib'!C$106)</f>
        <v>0</v>
      </c>
      <c r="D41" s="6">
        <f>100*'AMD'!D55*'LAFs'!D$245*D$11*'Input'!$E$58/'Input'!$F$58*(1-'Contrib'!D$106)</f>
        <v>0</v>
      </c>
      <c r="E41" s="6">
        <f>100*'AMD'!E55*'LAFs'!E$245*E$11*'Input'!$E$58/'Input'!$F$58*(1-'Contrib'!E$106)</f>
        <v>0</v>
      </c>
      <c r="F41" s="6">
        <f>100*'AMD'!F55*'LAFs'!F$245*F$11*'Input'!$E$58/'Input'!$F$58*(1-'Contrib'!F$106)</f>
        <v>0</v>
      </c>
      <c r="G41" s="6">
        <f>100*'AMD'!G55*'LAFs'!G$245*G$11*'Input'!$E$58/'Input'!$F$58*(1-'Contrib'!G$106)</f>
        <v>0</v>
      </c>
      <c r="H41" s="6">
        <f>100*'AMD'!H55*'LAFs'!H$245*H$11*'Input'!$E$58/'Input'!$F$58*(1-'Contrib'!H$106)</f>
        <v>0</v>
      </c>
      <c r="I41" s="6">
        <f>100*'AMD'!I55*'LAFs'!I$245*I$11*'Input'!$E$58/'Input'!$F$58*(1-'Contrib'!I$106)</f>
        <v>0</v>
      </c>
      <c r="J41" s="6">
        <f>100*'AMD'!J55*'LAFs'!J$245*J$11*'Input'!$E$58/'Input'!$F$58*(1-'Contrib'!J$106)</f>
        <v>0</v>
      </c>
      <c r="K41" s="6">
        <f>100*'AMD'!B55*'LAFs'!B$245*K$11*'Input'!$E$58/'Input'!$F$58*(1-'Contrib'!K$106)</f>
        <v>0</v>
      </c>
      <c r="L41" s="6">
        <f>100*'AMD'!C55*'LAFs'!C$245*L$11*'Input'!$E$58/'Input'!$F$58*(1-'Contrib'!L$106)</f>
        <v>0</v>
      </c>
      <c r="M41" s="6">
        <f>100*'AMD'!D55*'LAFs'!D$245*M$11*'Input'!$E$58/'Input'!$F$58*(1-'Contrib'!M$106)</f>
        <v>0</v>
      </c>
      <c r="N41" s="6">
        <f>100*'AMD'!E55*'LAFs'!E$245*N$11*'Input'!$E$58/'Input'!$F$58*(1-'Contrib'!N$106)</f>
        <v>0</v>
      </c>
      <c r="O41" s="6">
        <f>100*'AMD'!F55*'LAFs'!F$245*O$11*'Input'!$E$58/'Input'!$F$58*(1-'Contrib'!O$106)</f>
        <v>0</v>
      </c>
      <c r="P41" s="6">
        <f>100*'AMD'!G55*'LAFs'!G$245*P$11*'Input'!$E$58/'Input'!$F$58*(1-'Contrib'!P$106)</f>
        <v>0</v>
      </c>
      <c r="Q41" s="6">
        <f>100*'AMD'!H55*'LAFs'!H$245*Q$11*'Input'!$E$58/'Input'!$F$58*(1-'Contrib'!Q$106)</f>
        <v>0</v>
      </c>
      <c r="R41" s="6">
        <f>100*'AMD'!I55*'LAFs'!I$245*R$11*'Input'!$E$58/'Input'!$F$58*(1-'Contrib'!R$106)</f>
        <v>0</v>
      </c>
      <c r="S41" s="6">
        <f>100*'AMD'!J55*'LAFs'!J$245*S$11*'Input'!$E$58/'Input'!$F$58*(1-'Contrib'!S$106)</f>
        <v>0</v>
      </c>
      <c r="T41" s="10"/>
    </row>
    <row r="43" spans="1:20">
      <c r="A43" s="1" t="s">
        <v>930</v>
      </c>
    </row>
    <row r="44" spans="1:20">
      <c r="A44" s="2" t="s">
        <v>349</v>
      </c>
    </row>
    <row r="45" spans="1:20">
      <c r="A45" s="12" t="s">
        <v>924</v>
      </c>
    </row>
    <row r="46" spans="1:20">
      <c r="A46" s="12" t="s">
        <v>931</v>
      </c>
    </row>
    <row r="47" spans="1:20">
      <c r="A47" s="2" t="s">
        <v>932</v>
      </c>
    </row>
    <row r="49" spans="1:20">
      <c r="B49" s="3" t="s">
        <v>140</v>
      </c>
      <c r="C49" s="3" t="s">
        <v>304</v>
      </c>
      <c r="D49" s="3" t="s">
        <v>305</v>
      </c>
      <c r="E49" s="3" t="s">
        <v>306</v>
      </c>
      <c r="F49" s="3" t="s">
        <v>307</v>
      </c>
      <c r="G49" s="3" t="s">
        <v>308</v>
      </c>
      <c r="H49" s="3" t="s">
        <v>309</v>
      </c>
      <c r="I49" s="3" t="s">
        <v>310</v>
      </c>
      <c r="J49" s="3" t="s">
        <v>311</v>
      </c>
      <c r="K49" s="3" t="s">
        <v>292</v>
      </c>
      <c r="L49" s="3" t="s">
        <v>810</v>
      </c>
      <c r="M49" s="3" t="s">
        <v>811</v>
      </c>
      <c r="N49" s="3" t="s">
        <v>812</v>
      </c>
      <c r="O49" s="3" t="s">
        <v>813</v>
      </c>
      <c r="P49" s="3" t="s">
        <v>814</v>
      </c>
      <c r="Q49" s="3" t="s">
        <v>815</v>
      </c>
      <c r="R49" s="3" t="s">
        <v>816</v>
      </c>
      <c r="S49" s="3" t="s">
        <v>817</v>
      </c>
    </row>
    <row r="50" spans="1:20">
      <c r="A50" s="11" t="s">
        <v>172</v>
      </c>
      <c r="B50" s="6">
        <f>(1-'AMD'!B39)*'Yard'!B$23</f>
        <v>0</v>
      </c>
      <c r="C50" s="6">
        <f>(1-'AMD'!C39)*'Yard'!C$23</f>
        <v>0</v>
      </c>
      <c r="D50" s="6">
        <f>(1-'AMD'!D39)*'Yard'!D$23</f>
        <v>0</v>
      </c>
      <c r="E50" s="6">
        <f>(1-'AMD'!E39)*'Yard'!E$23</f>
        <v>0</v>
      </c>
      <c r="F50" s="6">
        <f>(1-'AMD'!F39)*'Yard'!F$23</f>
        <v>0</v>
      </c>
      <c r="G50" s="6">
        <f>(1-'AMD'!G39)*'Yard'!G$23</f>
        <v>0</v>
      </c>
      <c r="H50" s="6">
        <f>(1-'AMD'!H39)*'Yard'!H$23</f>
        <v>0</v>
      </c>
      <c r="I50" s="6">
        <f>(1-'AMD'!I39)*'Yard'!I$23</f>
        <v>0</v>
      </c>
      <c r="J50" s="6">
        <f>(1-'AMD'!J39)*'Yard'!J$23</f>
        <v>0</v>
      </c>
      <c r="K50" s="6">
        <f>(1-'AMD'!B39)*'Yard'!K$23</f>
        <v>0</v>
      </c>
      <c r="L50" s="6">
        <f>(1-'AMD'!C39)*'Yard'!L$23</f>
        <v>0</v>
      </c>
      <c r="M50" s="6">
        <f>(1-'AMD'!D39)*'Yard'!M$23</f>
        <v>0</v>
      </c>
      <c r="N50" s="6">
        <f>(1-'AMD'!E39)*'Yard'!N$23</f>
        <v>0</v>
      </c>
      <c r="O50" s="6">
        <f>(1-'AMD'!F39)*'Yard'!O$23</f>
        <v>0</v>
      </c>
      <c r="P50" s="6">
        <f>(1-'AMD'!G39)*'Yard'!P$23</f>
        <v>0</v>
      </c>
      <c r="Q50" s="6">
        <f>(1-'AMD'!H39)*'Yard'!Q$23</f>
        <v>0</v>
      </c>
      <c r="R50" s="6">
        <f>(1-'AMD'!I39)*'Yard'!R$23</f>
        <v>0</v>
      </c>
      <c r="S50" s="6">
        <f>(1-'AMD'!J39)*'Yard'!S$23</f>
        <v>0</v>
      </c>
      <c r="T50" s="10"/>
    </row>
    <row r="51" spans="1:20">
      <c r="A51" s="11" t="s">
        <v>173</v>
      </c>
      <c r="B51" s="6">
        <f>(1-'AMD'!B40)*'Yard'!B$24</f>
        <v>0</v>
      </c>
      <c r="C51" s="6">
        <f>(1-'AMD'!C40)*'Yard'!C$24</f>
        <v>0</v>
      </c>
      <c r="D51" s="6">
        <f>(1-'AMD'!D40)*'Yard'!D$24</f>
        <v>0</v>
      </c>
      <c r="E51" s="6">
        <f>(1-'AMD'!E40)*'Yard'!E$24</f>
        <v>0</v>
      </c>
      <c r="F51" s="6">
        <f>(1-'AMD'!F40)*'Yard'!F$24</f>
        <v>0</v>
      </c>
      <c r="G51" s="6">
        <f>(1-'AMD'!G40)*'Yard'!G$24</f>
        <v>0</v>
      </c>
      <c r="H51" s="6">
        <f>(1-'AMD'!H40)*'Yard'!H$24</f>
        <v>0</v>
      </c>
      <c r="I51" s="6">
        <f>(1-'AMD'!I40)*'Yard'!I$24</f>
        <v>0</v>
      </c>
      <c r="J51" s="6">
        <f>(1-'AMD'!J40)*'Yard'!J$24</f>
        <v>0</v>
      </c>
      <c r="K51" s="6">
        <f>(1-'AMD'!B40)*'Yard'!K$24</f>
        <v>0</v>
      </c>
      <c r="L51" s="6">
        <f>(1-'AMD'!C40)*'Yard'!L$24</f>
        <v>0</v>
      </c>
      <c r="M51" s="6">
        <f>(1-'AMD'!D40)*'Yard'!M$24</f>
        <v>0</v>
      </c>
      <c r="N51" s="6">
        <f>(1-'AMD'!E40)*'Yard'!N$24</f>
        <v>0</v>
      </c>
      <c r="O51" s="6">
        <f>(1-'AMD'!F40)*'Yard'!O$24</f>
        <v>0</v>
      </c>
      <c r="P51" s="6">
        <f>(1-'AMD'!G40)*'Yard'!P$24</f>
        <v>0</v>
      </c>
      <c r="Q51" s="6">
        <f>(1-'AMD'!H40)*'Yard'!Q$24</f>
        <v>0</v>
      </c>
      <c r="R51" s="6">
        <f>(1-'AMD'!I40)*'Yard'!R$24</f>
        <v>0</v>
      </c>
      <c r="S51" s="6">
        <f>(1-'AMD'!J40)*'Yard'!S$24</f>
        <v>0</v>
      </c>
      <c r="T51" s="10"/>
    </row>
    <row r="52" spans="1:20">
      <c r="A52" s="11" t="s">
        <v>210</v>
      </c>
      <c r="B52" s="6">
        <f>(1-'AMD'!B41)*'Yard'!B$25</f>
        <v>0</v>
      </c>
      <c r="C52" s="6">
        <f>(1-'AMD'!C41)*'Yard'!C$25</f>
        <v>0</v>
      </c>
      <c r="D52" s="6">
        <f>(1-'AMD'!D41)*'Yard'!D$25</f>
        <v>0</v>
      </c>
      <c r="E52" s="6">
        <f>(1-'AMD'!E41)*'Yard'!E$25</f>
        <v>0</v>
      </c>
      <c r="F52" s="6">
        <f>(1-'AMD'!F41)*'Yard'!F$25</f>
        <v>0</v>
      </c>
      <c r="G52" s="6">
        <f>(1-'AMD'!G41)*'Yard'!G$25</f>
        <v>0</v>
      </c>
      <c r="H52" s="6">
        <f>(1-'AMD'!H41)*'Yard'!H$25</f>
        <v>0</v>
      </c>
      <c r="I52" s="6">
        <f>(1-'AMD'!I41)*'Yard'!I$25</f>
        <v>0</v>
      </c>
      <c r="J52" s="6">
        <f>(1-'AMD'!J41)*'Yard'!J$25</f>
        <v>0</v>
      </c>
      <c r="K52" s="6">
        <f>(1-'AMD'!B41)*'Yard'!K$25</f>
        <v>0</v>
      </c>
      <c r="L52" s="6">
        <f>(1-'AMD'!C41)*'Yard'!L$25</f>
        <v>0</v>
      </c>
      <c r="M52" s="6">
        <f>(1-'AMD'!D41)*'Yard'!M$25</f>
        <v>0</v>
      </c>
      <c r="N52" s="6">
        <f>(1-'AMD'!E41)*'Yard'!N$25</f>
        <v>0</v>
      </c>
      <c r="O52" s="6">
        <f>(1-'AMD'!F41)*'Yard'!O$25</f>
        <v>0</v>
      </c>
      <c r="P52" s="6">
        <f>(1-'AMD'!G41)*'Yard'!P$25</f>
        <v>0</v>
      </c>
      <c r="Q52" s="6">
        <f>(1-'AMD'!H41)*'Yard'!Q$25</f>
        <v>0</v>
      </c>
      <c r="R52" s="6">
        <f>(1-'AMD'!I41)*'Yard'!R$25</f>
        <v>0</v>
      </c>
      <c r="S52" s="6">
        <f>(1-'AMD'!J41)*'Yard'!S$25</f>
        <v>0</v>
      </c>
      <c r="T52" s="10"/>
    </row>
    <row r="53" spans="1:20">
      <c r="A53" s="11" t="s">
        <v>174</v>
      </c>
      <c r="B53" s="6">
        <f>(1-'AMD'!B42)*'Yard'!B$26</f>
        <v>0</v>
      </c>
      <c r="C53" s="6">
        <f>(1-'AMD'!C42)*'Yard'!C$26</f>
        <v>0</v>
      </c>
      <c r="D53" s="6">
        <f>(1-'AMD'!D42)*'Yard'!D$26</f>
        <v>0</v>
      </c>
      <c r="E53" s="6">
        <f>(1-'AMD'!E42)*'Yard'!E$26</f>
        <v>0</v>
      </c>
      <c r="F53" s="6">
        <f>(1-'AMD'!F42)*'Yard'!F$26</f>
        <v>0</v>
      </c>
      <c r="G53" s="6">
        <f>(1-'AMD'!G42)*'Yard'!G$26</f>
        <v>0</v>
      </c>
      <c r="H53" s="6">
        <f>(1-'AMD'!H42)*'Yard'!H$26</f>
        <v>0</v>
      </c>
      <c r="I53" s="6">
        <f>(1-'AMD'!I42)*'Yard'!I$26</f>
        <v>0</v>
      </c>
      <c r="J53" s="6">
        <f>(1-'AMD'!J42)*'Yard'!J$26</f>
        <v>0</v>
      </c>
      <c r="K53" s="6">
        <f>(1-'AMD'!B42)*'Yard'!K$26</f>
        <v>0</v>
      </c>
      <c r="L53" s="6">
        <f>(1-'AMD'!C42)*'Yard'!L$26</f>
        <v>0</v>
      </c>
      <c r="M53" s="6">
        <f>(1-'AMD'!D42)*'Yard'!M$26</f>
        <v>0</v>
      </c>
      <c r="N53" s="6">
        <f>(1-'AMD'!E42)*'Yard'!N$26</f>
        <v>0</v>
      </c>
      <c r="O53" s="6">
        <f>(1-'AMD'!F42)*'Yard'!O$26</f>
        <v>0</v>
      </c>
      <c r="P53" s="6">
        <f>(1-'AMD'!G42)*'Yard'!P$26</f>
        <v>0</v>
      </c>
      <c r="Q53" s="6">
        <f>(1-'AMD'!H42)*'Yard'!Q$26</f>
        <v>0</v>
      </c>
      <c r="R53" s="6">
        <f>(1-'AMD'!I42)*'Yard'!R$26</f>
        <v>0</v>
      </c>
      <c r="S53" s="6">
        <f>(1-'AMD'!J42)*'Yard'!S$26</f>
        <v>0</v>
      </c>
      <c r="T53" s="10"/>
    </row>
    <row r="54" spans="1:20">
      <c r="A54" s="11" t="s">
        <v>175</v>
      </c>
      <c r="B54" s="6">
        <f>(1-'AMD'!B43)*'Yard'!B$27</f>
        <v>0</v>
      </c>
      <c r="C54" s="6">
        <f>(1-'AMD'!C43)*'Yard'!C$27</f>
        <v>0</v>
      </c>
      <c r="D54" s="6">
        <f>(1-'AMD'!D43)*'Yard'!D$27</f>
        <v>0</v>
      </c>
      <c r="E54" s="6">
        <f>(1-'AMD'!E43)*'Yard'!E$27</f>
        <v>0</v>
      </c>
      <c r="F54" s="6">
        <f>(1-'AMD'!F43)*'Yard'!F$27</f>
        <v>0</v>
      </c>
      <c r="G54" s="6">
        <f>(1-'AMD'!G43)*'Yard'!G$27</f>
        <v>0</v>
      </c>
      <c r="H54" s="6">
        <f>(1-'AMD'!H43)*'Yard'!H$27</f>
        <v>0</v>
      </c>
      <c r="I54" s="6">
        <f>(1-'AMD'!I43)*'Yard'!I$27</f>
        <v>0</v>
      </c>
      <c r="J54" s="6">
        <f>(1-'AMD'!J43)*'Yard'!J$27</f>
        <v>0</v>
      </c>
      <c r="K54" s="6">
        <f>(1-'AMD'!B43)*'Yard'!K$27</f>
        <v>0</v>
      </c>
      <c r="L54" s="6">
        <f>(1-'AMD'!C43)*'Yard'!L$27</f>
        <v>0</v>
      </c>
      <c r="M54" s="6">
        <f>(1-'AMD'!D43)*'Yard'!M$27</f>
        <v>0</v>
      </c>
      <c r="N54" s="6">
        <f>(1-'AMD'!E43)*'Yard'!N$27</f>
        <v>0</v>
      </c>
      <c r="O54" s="6">
        <f>(1-'AMD'!F43)*'Yard'!O$27</f>
        <v>0</v>
      </c>
      <c r="P54" s="6">
        <f>(1-'AMD'!G43)*'Yard'!P$27</f>
        <v>0</v>
      </c>
      <c r="Q54" s="6">
        <f>(1-'AMD'!H43)*'Yard'!Q$27</f>
        <v>0</v>
      </c>
      <c r="R54" s="6">
        <f>(1-'AMD'!I43)*'Yard'!R$27</f>
        <v>0</v>
      </c>
      <c r="S54" s="6">
        <f>(1-'AMD'!J43)*'Yard'!S$27</f>
        <v>0</v>
      </c>
      <c r="T54" s="10"/>
    </row>
    <row r="55" spans="1:20">
      <c r="A55" s="11" t="s">
        <v>211</v>
      </c>
      <c r="B55" s="6">
        <f>(1-'AMD'!B44)*'Yard'!B$28</f>
        <v>0</v>
      </c>
      <c r="C55" s="6">
        <f>(1-'AMD'!C44)*'Yard'!C$28</f>
        <v>0</v>
      </c>
      <c r="D55" s="6">
        <f>(1-'AMD'!D44)*'Yard'!D$28</f>
        <v>0</v>
      </c>
      <c r="E55" s="6">
        <f>(1-'AMD'!E44)*'Yard'!E$28</f>
        <v>0</v>
      </c>
      <c r="F55" s="6">
        <f>(1-'AMD'!F44)*'Yard'!F$28</f>
        <v>0</v>
      </c>
      <c r="G55" s="6">
        <f>(1-'AMD'!G44)*'Yard'!G$28</f>
        <v>0</v>
      </c>
      <c r="H55" s="6">
        <f>(1-'AMD'!H44)*'Yard'!H$28</f>
        <v>0</v>
      </c>
      <c r="I55" s="6">
        <f>(1-'AMD'!I44)*'Yard'!I$28</f>
        <v>0</v>
      </c>
      <c r="J55" s="6">
        <f>(1-'AMD'!J44)*'Yard'!J$28</f>
        <v>0</v>
      </c>
      <c r="K55" s="6">
        <f>(1-'AMD'!B44)*'Yard'!K$28</f>
        <v>0</v>
      </c>
      <c r="L55" s="6">
        <f>(1-'AMD'!C44)*'Yard'!L$28</f>
        <v>0</v>
      </c>
      <c r="M55" s="6">
        <f>(1-'AMD'!D44)*'Yard'!M$28</f>
        <v>0</v>
      </c>
      <c r="N55" s="6">
        <f>(1-'AMD'!E44)*'Yard'!N$28</f>
        <v>0</v>
      </c>
      <c r="O55" s="6">
        <f>(1-'AMD'!F44)*'Yard'!O$28</f>
        <v>0</v>
      </c>
      <c r="P55" s="6">
        <f>(1-'AMD'!G44)*'Yard'!P$28</f>
        <v>0</v>
      </c>
      <c r="Q55" s="6">
        <f>(1-'AMD'!H44)*'Yard'!Q$28</f>
        <v>0</v>
      </c>
      <c r="R55" s="6">
        <f>(1-'AMD'!I44)*'Yard'!R$28</f>
        <v>0</v>
      </c>
      <c r="S55" s="6">
        <f>(1-'AMD'!J44)*'Yard'!S$28</f>
        <v>0</v>
      </c>
      <c r="T55" s="10"/>
    </row>
    <row r="56" spans="1:20">
      <c r="A56" s="11" t="s">
        <v>176</v>
      </c>
      <c r="B56" s="6">
        <f>(1-'AMD'!B45)*'Yard'!B$29</f>
        <v>0</v>
      </c>
      <c r="C56" s="6">
        <f>(1-'AMD'!C45)*'Yard'!C$29</f>
        <v>0</v>
      </c>
      <c r="D56" s="6">
        <f>(1-'AMD'!D45)*'Yard'!D$29</f>
        <v>0</v>
      </c>
      <c r="E56" s="6">
        <f>(1-'AMD'!E45)*'Yard'!E$29</f>
        <v>0</v>
      </c>
      <c r="F56" s="6">
        <f>(1-'AMD'!F45)*'Yard'!F$29</f>
        <v>0</v>
      </c>
      <c r="G56" s="6">
        <f>(1-'AMD'!G45)*'Yard'!G$29</f>
        <v>0</v>
      </c>
      <c r="H56" s="6">
        <f>(1-'AMD'!H45)*'Yard'!H$29</f>
        <v>0</v>
      </c>
      <c r="I56" s="6">
        <f>(1-'AMD'!I45)*'Yard'!I$29</f>
        <v>0</v>
      </c>
      <c r="J56" s="6">
        <f>(1-'AMD'!J45)*'Yard'!J$29</f>
        <v>0</v>
      </c>
      <c r="K56" s="6">
        <f>(1-'AMD'!B45)*'Yard'!K$29</f>
        <v>0</v>
      </c>
      <c r="L56" s="6">
        <f>(1-'AMD'!C45)*'Yard'!L$29</f>
        <v>0</v>
      </c>
      <c r="M56" s="6">
        <f>(1-'AMD'!D45)*'Yard'!M$29</f>
        <v>0</v>
      </c>
      <c r="N56" s="6">
        <f>(1-'AMD'!E45)*'Yard'!N$29</f>
        <v>0</v>
      </c>
      <c r="O56" s="6">
        <f>(1-'AMD'!F45)*'Yard'!O$29</f>
        <v>0</v>
      </c>
      <c r="P56" s="6">
        <f>(1-'AMD'!G45)*'Yard'!P$29</f>
        <v>0</v>
      </c>
      <c r="Q56" s="6">
        <f>(1-'AMD'!H45)*'Yard'!Q$29</f>
        <v>0</v>
      </c>
      <c r="R56" s="6">
        <f>(1-'AMD'!I45)*'Yard'!R$29</f>
        <v>0</v>
      </c>
      <c r="S56" s="6">
        <f>(1-'AMD'!J45)*'Yard'!S$29</f>
        <v>0</v>
      </c>
      <c r="T56" s="10"/>
    </row>
    <row r="57" spans="1:20">
      <c r="A57" s="11" t="s">
        <v>177</v>
      </c>
      <c r="B57" s="6">
        <f>(1-'AMD'!B46)*'Yard'!B$30</f>
        <v>0</v>
      </c>
      <c r="C57" s="6">
        <f>(1-'AMD'!C46)*'Yard'!C$30</f>
        <v>0</v>
      </c>
      <c r="D57" s="6">
        <f>(1-'AMD'!D46)*'Yard'!D$30</f>
        <v>0</v>
      </c>
      <c r="E57" s="6">
        <f>(1-'AMD'!E46)*'Yard'!E$30</f>
        <v>0</v>
      </c>
      <c r="F57" s="6">
        <f>(1-'AMD'!F46)*'Yard'!F$30</f>
        <v>0</v>
      </c>
      <c r="G57" s="6">
        <f>(1-'AMD'!G46)*'Yard'!G$30</f>
        <v>0</v>
      </c>
      <c r="H57" s="6">
        <f>(1-'AMD'!H46)*'Yard'!H$30</f>
        <v>0</v>
      </c>
      <c r="I57" s="6">
        <f>(1-'AMD'!I46)*'Yard'!I$30</f>
        <v>0</v>
      </c>
      <c r="J57" s="6">
        <f>(1-'AMD'!J46)*'Yard'!J$30</f>
        <v>0</v>
      </c>
      <c r="K57" s="6">
        <f>(1-'AMD'!B46)*'Yard'!K$30</f>
        <v>0</v>
      </c>
      <c r="L57" s="6">
        <f>(1-'AMD'!C46)*'Yard'!L$30</f>
        <v>0</v>
      </c>
      <c r="M57" s="6">
        <f>(1-'AMD'!D46)*'Yard'!M$30</f>
        <v>0</v>
      </c>
      <c r="N57" s="6">
        <f>(1-'AMD'!E46)*'Yard'!N$30</f>
        <v>0</v>
      </c>
      <c r="O57" s="6">
        <f>(1-'AMD'!F46)*'Yard'!O$30</f>
        <v>0</v>
      </c>
      <c r="P57" s="6">
        <f>(1-'AMD'!G46)*'Yard'!P$30</f>
        <v>0</v>
      </c>
      <c r="Q57" s="6">
        <f>(1-'AMD'!H46)*'Yard'!Q$30</f>
        <v>0</v>
      </c>
      <c r="R57" s="6">
        <f>(1-'AMD'!I46)*'Yard'!R$30</f>
        <v>0</v>
      </c>
      <c r="S57" s="6">
        <f>(1-'AMD'!J46)*'Yard'!S$30</f>
        <v>0</v>
      </c>
      <c r="T57" s="10"/>
    </row>
    <row r="58" spans="1:20">
      <c r="A58" s="11" t="s">
        <v>191</v>
      </c>
      <c r="B58" s="6">
        <f>(1-'AMD'!B47)*'Yard'!B$31</f>
        <v>0</v>
      </c>
      <c r="C58" s="6">
        <f>(1-'AMD'!C47)*'Yard'!C$31</f>
        <v>0</v>
      </c>
      <c r="D58" s="6">
        <f>(1-'AMD'!D47)*'Yard'!D$31</f>
        <v>0</v>
      </c>
      <c r="E58" s="6">
        <f>(1-'AMD'!E47)*'Yard'!E$31</f>
        <v>0</v>
      </c>
      <c r="F58" s="6">
        <f>(1-'AMD'!F47)*'Yard'!F$31</f>
        <v>0</v>
      </c>
      <c r="G58" s="6">
        <f>(1-'AMD'!G47)*'Yard'!G$31</f>
        <v>0</v>
      </c>
      <c r="H58" s="6">
        <f>(1-'AMD'!H47)*'Yard'!H$31</f>
        <v>0</v>
      </c>
      <c r="I58" s="6">
        <f>(1-'AMD'!I47)*'Yard'!I$31</f>
        <v>0</v>
      </c>
      <c r="J58" s="6">
        <f>(1-'AMD'!J47)*'Yard'!J$31</f>
        <v>0</v>
      </c>
      <c r="K58" s="6">
        <f>(1-'AMD'!B47)*'Yard'!K$31</f>
        <v>0</v>
      </c>
      <c r="L58" s="6">
        <f>(1-'AMD'!C47)*'Yard'!L$31</f>
        <v>0</v>
      </c>
      <c r="M58" s="6">
        <f>(1-'AMD'!D47)*'Yard'!M$31</f>
        <v>0</v>
      </c>
      <c r="N58" s="6">
        <f>(1-'AMD'!E47)*'Yard'!N$31</f>
        <v>0</v>
      </c>
      <c r="O58" s="6">
        <f>(1-'AMD'!F47)*'Yard'!O$31</f>
        <v>0</v>
      </c>
      <c r="P58" s="6">
        <f>(1-'AMD'!G47)*'Yard'!P$31</f>
        <v>0</v>
      </c>
      <c r="Q58" s="6">
        <f>(1-'AMD'!H47)*'Yard'!Q$31</f>
        <v>0</v>
      </c>
      <c r="R58" s="6">
        <f>(1-'AMD'!I47)*'Yard'!R$31</f>
        <v>0</v>
      </c>
      <c r="S58" s="6">
        <f>(1-'AMD'!J47)*'Yard'!S$31</f>
        <v>0</v>
      </c>
      <c r="T58" s="10"/>
    </row>
    <row r="59" spans="1:20">
      <c r="A59" s="11" t="s">
        <v>178</v>
      </c>
      <c r="B59" s="6">
        <f>(1-'AMD'!B48)*'Yard'!B$32</f>
        <v>0</v>
      </c>
      <c r="C59" s="6">
        <f>(1-'AMD'!C48)*'Yard'!C$32</f>
        <v>0</v>
      </c>
      <c r="D59" s="6">
        <f>(1-'AMD'!D48)*'Yard'!D$32</f>
        <v>0</v>
      </c>
      <c r="E59" s="6">
        <f>(1-'AMD'!E48)*'Yard'!E$32</f>
        <v>0</v>
      </c>
      <c r="F59" s="6">
        <f>(1-'AMD'!F48)*'Yard'!F$32</f>
        <v>0</v>
      </c>
      <c r="G59" s="6">
        <f>(1-'AMD'!G48)*'Yard'!G$32</f>
        <v>0</v>
      </c>
      <c r="H59" s="6">
        <f>(1-'AMD'!H48)*'Yard'!H$32</f>
        <v>0</v>
      </c>
      <c r="I59" s="6">
        <f>(1-'AMD'!I48)*'Yard'!I$32</f>
        <v>0</v>
      </c>
      <c r="J59" s="6">
        <f>(1-'AMD'!J48)*'Yard'!J$32</f>
        <v>0</v>
      </c>
      <c r="K59" s="6">
        <f>(1-'AMD'!B48)*'Yard'!K$32</f>
        <v>0</v>
      </c>
      <c r="L59" s="6">
        <f>(1-'AMD'!C48)*'Yard'!L$32</f>
        <v>0</v>
      </c>
      <c r="M59" s="6">
        <f>(1-'AMD'!D48)*'Yard'!M$32</f>
        <v>0</v>
      </c>
      <c r="N59" s="6">
        <f>(1-'AMD'!E48)*'Yard'!N$32</f>
        <v>0</v>
      </c>
      <c r="O59" s="6">
        <f>(1-'AMD'!F48)*'Yard'!O$32</f>
        <v>0</v>
      </c>
      <c r="P59" s="6">
        <f>(1-'AMD'!G48)*'Yard'!P$32</f>
        <v>0</v>
      </c>
      <c r="Q59" s="6">
        <f>(1-'AMD'!H48)*'Yard'!Q$32</f>
        <v>0</v>
      </c>
      <c r="R59" s="6">
        <f>(1-'AMD'!I48)*'Yard'!R$32</f>
        <v>0</v>
      </c>
      <c r="S59" s="6">
        <f>(1-'AMD'!J48)*'Yard'!S$32</f>
        <v>0</v>
      </c>
      <c r="T59" s="10"/>
    </row>
    <row r="60" spans="1:20">
      <c r="A60" s="11" t="s">
        <v>179</v>
      </c>
      <c r="B60" s="6">
        <f>(1-'AMD'!B49)*'Yard'!B$33</f>
        <v>0</v>
      </c>
      <c r="C60" s="6">
        <f>(1-'AMD'!C49)*'Yard'!C$33</f>
        <v>0</v>
      </c>
      <c r="D60" s="6">
        <f>(1-'AMD'!D49)*'Yard'!D$33</f>
        <v>0</v>
      </c>
      <c r="E60" s="6">
        <f>(1-'AMD'!E49)*'Yard'!E$33</f>
        <v>0</v>
      </c>
      <c r="F60" s="6">
        <f>(1-'AMD'!F49)*'Yard'!F$33</f>
        <v>0</v>
      </c>
      <c r="G60" s="6">
        <f>(1-'AMD'!G49)*'Yard'!G$33</f>
        <v>0</v>
      </c>
      <c r="H60" s="6">
        <f>(1-'AMD'!H49)*'Yard'!H$33</f>
        <v>0</v>
      </c>
      <c r="I60" s="6">
        <f>(1-'AMD'!I49)*'Yard'!I$33</f>
        <v>0</v>
      </c>
      <c r="J60" s="6">
        <f>(1-'AMD'!J49)*'Yard'!J$33</f>
        <v>0</v>
      </c>
      <c r="K60" s="6">
        <f>(1-'AMD'!B49)*'Yard'!K$33</f>
        <v>0</v>
      </c>
      <c r="L60" s="6">
        <f>(1-'AMD'!C49)*'Yard'!L$33</f>
        <v>0</v>
      </c>
      <c r="M60" s="6">
        <f>(1-'AMD'!D49)*'Yard'!M$33</f>
        <v>0</v>
      </c>
      <c r="N60" s="6">
        <f>(1-'AMD'!E49)*'Yard'!N$33</f>
        <v>0</v>
      </c>
      <c r="O60" s="6">
        <f>(1-'AMD'!F49)*'Yard'!O$33</f>
        <v>0</v>
      </c>
      <c r="P60" s="6">
        <f>(1-'AMD'!G49)*'Yard'!P$33</f>
        <v>0</v>
      </c>
      <c r="Q60" s="6">
        <f>(1-'AMD'!H49)*'Yard'!Q$33</f>
        <v>0</v>
      </c>
      <c r="R60" s="6">
        <f>(1-'AMD'!I49)*'Yard'!R$33</f>
        <v>0</v>
      </c>
      <c r="S60" s="6">
        <f>(1-'AMD'!J49)*'Yard'!S$33</f>
        <v>0</v>
      </c>
      <c r="T60" s="10"/>
    </row>
    <row r="61" spans="1:20">
      <c r="A61" s="11" t="s">
        <v>192</v>
      </c>
      <c r="B61" s="6">
        <f>(1-'AMD'!B50)*'Yard'!B$34</f>
        <v>0</v>
      </c>
      <c r="C61" s="6">
        <f>(1-'AMD'!C50)*'Yard'!C$34</f>
        <v>0</v>
      </c>
      <c r="D61" s="6">
        <f>(1-'AMD'!D50)*'Yard'!D$34</f>
        <v>0</v>
      </c>
      <c r="E61" s="6">
        <f>(1-'AMD'!E50)*'Yard'!E$34</f>
        <v>0</v>
      </c>
      <c r="F61" s="6">
        <f>(1-'AMD'!F50)*'Yard'!F$34</f>
        <v>0</v>
      </c>
      <c r="G61" s="6">
        <f>(1-'AMD'!G50)*'Yard'!G$34</f>
        <v>0</v>
      </c>
      <c r="H61" s="6">
        <f>(1-'AMD'!H50)*'Yard'!H$34</f>
        <v>0</v>
      </c>
      <c r="I61" s="6">
        <f>(1-'AMD'!I50)*'Yard'!I$34</f>
        <v>0</v>
      </c>
      <c r="J61" s="6">
        <f>(1-'AMD'!J50)*'Yard'!J$34</f>
        <v>0</v>
      </c>
      <c r="K61" s="6">
        <f>(1-'AMD'!B50)*'Yard'!K$34</f>
        <v>0</v>
      </c>
      <c r="L61" s="6">
        <f>(1-'AMD'!C50)*'Yard'!L$34</f>
        <v>0</v>
      </c>
      <c r="M61" s="6">
        <f>(1-'AMD'!D50)*'Yard'!M$34</f>
        <v>0</v>
      </c>
      <c r="N61" s="6">
        <f>(1-'AMD'!E50)*'Yard'!N$34</f>
        <v>0</v>
      </c>
      <c r="O61" s="6">
        <f>(1-'AMD'!F50)*'Yard'!O$34</f>
        <v>0</v>
      </c>
      <c r="P61" s="6">
        <f>(1-'AMD'!G50)*'Yard'!P$34</f>
        <v>0</v>
      </c>
      <c r="Q61" s="6">
        <f>(1-'AMD'!H50)*'Yard'!Q$34</f>
        <v>0</v>
      </c>
      <c r="R61" s="6">
        <f>(1-'AMD'!I50)*'Yard'!R$34</f>
        <v>0</v>
      </c>
      <c r="S61" s="6">
        <f>(1-'AMD'!J50)*'Yard'!S$34</f>
        <v>0</v>
      </c>
      <c r="T61" s="10"/>
    </row>
    <row r="62" spans="1:20">
      <c r="A62" s="11" t="s">
        <v>212</v>
      </c>
      <c r="B62" s="6">
        <f>(1-'AMD'!B51)*'Yard'!B$35</f>
        <v>0</v>
      </c>
      <c r="C62" s="6">
        <f>(1-'AMD'!C51)*'Yard'!C$35</f>
        <v>0</v>
      </c>
      <c r="D62" s="6">
        <f>(1-'AMD'!D51)*'Yard'!D$35</f>
        <v>0</v>
      </c>
      <c r="E62" s="6">
        <f>(1-'AMD'!E51)*'Yard'!E$35</f>
        <v>0</v>
      </c>
      <c r="F62" s="6">
        <f>(1-'AMD'!F51)*'Yard'!F$35</f>
        <v>0</v>
      </c>
      <c r="G62" s="6">
        <f>(1-'AMD'!G51)*'Yard'!G$35</f>
        <v>0</v>
      </c>
      <c r="H62" s="6">
        <f>(1-'AMD'!H51)*'Yard'!H$35</f>
        <v>0</v>
      </c>
      <c r="I62" s="6">
        <f>(1-'AMD'!I51)*'Yard'!I$35</f>
        <v>0</v>
      </c>
      <c r="J62" s="6">
        <f>(1-'AMD'!J51)*'Yard'!J$35</f>
        <v>0</v>
      </c>
      <c r="K62" s="6">
        <f>(1-'AMD'!B51)*'Yard'!K$35</f>
        <v>0</v>
      </c>
      <c r="L62" s="6">
        <f>(1-'AMD'!C51)*'Yard'!L$35</f>
        <v>0</v>
      </c>
      <c r="M62" s="6">
        <f>(1-'AMD'!D51)*'Yard'!M$35</f>
        <v>0</v>
      </c>
      <c r="N62" s="6">
        <f>(1-'AMD'!E51)*'Yard'!N$35</f>
        <v>0</v>
      </c>
      <c r="O62" s="6">
        <f>(1-'AMD'!F51)*'Yard'!O$35</f>
        <v>0</v>
      </c>
      <c r="P62" s="6">
        <f>(1-'AMD'!G51)*'Yard'!P$35</f>
        <v>0</v>
      </c>
      <c r="Q62" s="6">
        <f>(1-'AMD'!H51)*'Yard'!Q$35</f>
        <v>0</v>
      </c>
      <c r="R62" s="6">
        <f>(1-'AMD'!I51)*'Yard'!R$35</f>
        <v>0</v>
      </c>
      <c r="S62" s="6">
        <f>(1-'AMD'!J51)*'Yard'!S$35</f>
        <v>0</v>
      </c>
      <c r="T62" s="10"/>
    </row>
    <row r="63" spans="1:20">
      <c r="A63" s="11" t="s">
        <v>213</v>
      </c>
      <c r="B63" s="6">
        <f>(1-'AMD'!B52)*'Yard'!B$36</f>
        <v>0</v>
      </c>
      <c r="C63" s="6">
        <f>(1-'AMD'!C52)*'Yard'!C$36</f>
        <v>0</v>
      </c>
      <c r="D63" s="6">
        <f>(1-'AMD'!D52)*'Yard'!D$36</f>
        <v>0</v>
      </c>
      <c r="E63" s="6">
        <f>(1-'AMD'!E52)*'Yard'!E$36</f>
        <v>0</v>
      </c>
      <c r="F63" s="6">
        <f>(1-'AMD'!F52)*'Yard'!F$36</f>
        <v>0</v>
      </c>
      <c r="G63" s="6">
        <f>(1-'AMD'!G52)*'Yard'!G$36</f>
        <v>0</v>
      </c>
      <c r="H63" s="6">
        <f>(1-'AMD'!H52)*'Yard'!H$36</f>
        <v>0</v>
      </c>
      <c r="I63" s="6">
        <f>(1-'AMD'!I52)*'Yard'!I$36</f>
        <v>0</v>
      </c>
      <c r="J63" s="6">
        <f>(1-'AMD'!J52)*'Yard'!J$36</f>
        <v>0</v>
      </c>
      <c r="K63" s="6">
        <f>(1-'AMD'!B52)*'Yard'!K$36</f>
        <v>0</v>
      </c>
      <c r="L63" s="6">
        <f>(1-'AMD'!C52)*'Yard'!L$36</f>
        <v>0</v>
      </c>
      <c r="M63" s="6">
        <f>(1-'AMD'!D52)*'Yard'!M$36</f>
        <v>0</v>
      </c>
      <c r="N63" s="6">
        <f>(1-'AMD'!E52)*'Yard'!N$36</f>
        <v>0</v>
      </c>
      <c r="O63" s="6">
        <f>(1-'AMD'!F52)*'Yard'!O$36</f>
        <v>0</v>
      </c>
      <c r="P63" s="6">
        <f>(1-'AMD'!G52)*'Yard'!P$36</f>
        <v>0</v>
      </c>
      <c r="Q63" s="6">
        <f>(1-'AMD'!H52)*'Yard'!Q$36</f>
        <v>0</v>
      </c>
      <c r="R63" s="6">
        <f>(1-'AMD'!I52)*'Yard'!R$36</f>
        <v>0</v>
      </c>
      <c r="S63" s="6">
        <f>(1-'AMD'!J52)*'Yard'!S$36</f>
        <v>0</v>
      </c>
      <c r="T63" s="10"/>
    </row>
    <row r="64" spans="1:20">
      <c r="A64" s="11" t="s">
        <v>214</v>
      </c>
      <c r="B64" s="6">
        <f>(1-'AMD'!B53)*'Yard'!B$37</f>
        <v>0</v>
      </c>
      <c r="C64" s="6">
        <f>(1-'AMD'!C53)*'Yard'!C$37</f>
        <v>0</v>
      </c>
      <c r="D64" s="6">
        <f>(1-'AMD'!D53)*'Yard'!D$37</f>
        <v>0</v>
      </c>
      <c r="E64" s="6">
        <f>(1-'AMD'!E53)*'Yard'!E$37</f>
        <v>0</v>
      </c>
      <c r="F64" s="6">
        <f>(1-'AMD'!F53)*'Yard'!F$37</f>
        <v>0</v>
      </c>
      <c r="G64" s="6">
        <f>(1-'AMD'!G53)*'Yard'!G$37</f>
        <v>0</v>
      </c>
      <c r="H64" s="6">
        <f>(1-'AMD'!H53)*'Yard'!H$37</f>
        <v>0</v>
      </c>
      <c r="I64" s="6">
        <f>(1-'AMD'!I53)*'Yard'!I$37</f>
        <v>0</v>
      </c>
      <c r="J64" s="6">
        <f>(1-'AMD'!J53)*'Yard'!J$37</f>
        <v>0</v>
      </c>
      <c r="K64" s="6">
        <f>(1-'AMD'!B53)*'Yard'!K$37</f>
        <v>0</v>
      </c>
      <c r="L64" s="6">
        <f>(1-'AMD'!C53)*'Yard'!L$37</f>
        <v>0</v>
      </c>
      <c r="M64" s="6">
        <f>(1-'AMD'!D53)*'Yard'!M$37</f>
        <v>0</v>
      </c>
      <c r="N64" s="6">
        <f>(1-'AMD'!E53)*'Yard'!N$37</f>
        <v>0</v>
      </c>
      <c r="O64" s="6">
        <f>(1-'AMD'!F53)*'Yard'!O$37</f>
        <v>0</v>
      </c>
      <c r="P64" s="6">
        <f>(1-'AMD'!G53)*'Yard'!P$37</f>
        <v>0</v>
      </c>
      <c r="Q64" s="6">
        <f>(1-'AMD'!H53)*'Yard'!Q$37</f>
        <v>0</v>
      </c>
      <c r="R64" s="6">
        <f>(1-'AMD'!I53)*'Yard'!R$37</f>
        <v>0</v>
      </c>
      <c r="S64" s="6">
        <f>(1-'AMD'!J53)*'Yard'!S$37</f>
        <v>0</v>
      </c>
      <c r="T64" s="10"/>
    </row>
    <row r="65" spans="1:20">
      <c r="A65" s="11" t="s">
        <v>215</v>
      </c>
      <c r="B65" s="6">
        <f>(1-'AMD'!B54)*'Yard'!B$38</f>
        <v>0</v>
      </c>
      <c r="C65" s="6">
        <f>(1-'AMD'!C54)*'Yard'!C$38</f>
        <v>0</v>
      </c>
      <c r="D65" s="6">
        <f>(1-'AMD'!D54)*'Yard'!D$38</f>
        <v>0</v>
      </c>
      <c r="E65" s="6">
        <f>(1-'AMD'!E54)*'Yard'!E$38</f>
        <v>0</v>
      </c>
      <c r="F65" s="6">
        <f>(1-'AMD'!F54)*'Yard'!F$38</f>
        <v>0</v>
      </c>
      <c r="G65" s="6">
        <f>(1-'AMD'!G54)*'Yard'!G$38</f>
        <v>0</v>
      </c>
      <c r="H65" s="6">
        <f>(1-'AMD'!H54)*'Yard'!H$38</f>
        <v>0</v>
      </c>
      <c r="I65" s="6">
        <f>(1-'AMD'!I54)*'Yard'!I$38</f>
        <v>0</v>
      </c>
      <c r="J65" s="6">
        <f>(1-'AMD'!J54)*'Yard'!J$38</f>
        <v>0</v>
      </c>
      <c r="K65" s="6">
        <f>(1-'AMD'!B54)*'Yard'!K$38</f>
        <v>0</v>
      </c>
      <c r="L65" s="6">
        <f>(1-'AMD'!C54)*'Yard'!L$38</f>
        <v>0</v>
      </c>
      <c r="M65" s="6">
        <f>(1-'AMD'!D54)*'Yard'!M$38</f>
        <v>0</v>
      </c>
      <c r="N65" s="6">
        <f>(1-'AMD'!E54)*'Yard'!N$38</f>
        <v>0</v>
      </c>
      <c r="O65" s="6">
        <f>(1-'AMD'!F54)*'Yard'!O$38</f>
        <v>0</v>
      </c>
      <c r="P65" s="6">
        <f>(1-'AMD'!G54)*'Yard'!P$38</f>
        <v>0</v>
      </c>
      <c r="Q65" s="6">
        <f>(1-'AMD'!H54)*'Yard'!Q$38</f>
        <v>0</v>
      </c>
      <c r="R65" s="6">
        <f>(1-'AMD'!I54)*'Yard'!R$38</f>
        <v>0</v>
      </c>
      <c r="S65" s="6">
        <f>(1-'AMD'!J54)*'Yard'!S$38</f>
        <v>0</v>
      </c>
      <c r="T65" s="10"/>
    </row>
    <row r="66" spans="1:20">
      <c r="A66" s="11" t="s">
        <v>216</v>
      </c>
      <c r="B66" s="6">
        <f>(1-'AMD'!B55)*'Yard'!B$39</f>
        <v>0</v>
      </c>
      <c r="C66" s="6">
        <f>(1-'AMD'!C55)*'Yard'!C$39</f>
        <v>0</v>
      </c>
      <c r="D66" s="6">
        <f>(1-'AMD'!D55)*'Yard'!D$39</f>
        <v>0</v>
      </c>
      <c r="E66" s="6">
        <f>(1-'AMD'!E55)*'Yard'!E$39</f>
        <v>0</v>
      </c>
      <c r="F66" s="6">
        <f>(1-'AMD'!F55)*'Yard'!F$39</f>
        <v>0</v>
      </c>
      <c r="G66" s="6">
        <f>(1-'AMD'!G55)*'Yard'!G$39</f>
        <v>0</v>
      </c>
      <c r="H66" s="6">
        <f>(1-'AMD'!H55)*'Yard'!H$39</f>
        <v>0</v>
      </c>
      <c r="I66" s="6">
        <f>(1-'AMD'!I55)*'Yard'!I$39</f>
        <v>0</v>
      </c>
      <c r="J66" s="6">
        <f>(1-'AMD'!J55)*'Yard'!J$39</f>
        <v>0</v>
      </c>
      <c r="K66" s="6">
        <f>(1-'AMD'!B55)*'Yard'!K$39</f>
        <v>0</v>
      </c>
      <c r="L66" s="6">
        <f>(1-'AMD'!C55)*'Yard'!L$39</f>
        <v>0</v>
      </c>
      <c r="M66" s="6">
        <f>(1-'AMD'!D55)*'Yard'!M$39</f>
        <v>0</v>
      </c>
      <c r="N66" s="6">
        <f>(1-'AMD'!E55)*'Yard'!N$39</f>
        <v>0</v>
      </c>
      <c r="O66" s="6">
        <f>(1-'AMD'!F55)*'Yard'!O$39</f>
        <v>0</v>
      </c>
      <c r="P66" s="6">
        <f>(1-'AMD'!G55)*'Yard'!P$39</f>
        <v>0</v>
      </c>
      <c r="Q66" s="6">
        <f>(1-'AMD'!H55)*'Yard'!Q$39</f>
        <v>0</v>
      </c>
      <c r="R66" s="6">
        <f>(1-'AMD'!I55)*'Yard'!R$39</f>
        <v>0</v>
      </c>
      <c r="S66" s="6">
        <f>(1-'AMD'!J55)*'Yard'!S$39</f>
        <v>0</v>
      </c>
      <c r="T66" s="10"/>
    </row>
    <row r="68" spans="1:20">
      <c r="A68" s="1" t="s">
        <v>933</v>
      </c>
    </row>
    <row r="69" spans="1:20">
      <c r="A69" s="2" t="s">
        <v>349</v>
      </c>
    </row>
    <row r="70" spans="1:20">
      <c r="A70" s="12" t="s">
        <v>924</v>
      </c>
    </row>
    <row r="71" spans="1:20">
      <c r="A71" s="12" t="s">
        <v>934</v>
      </c>
    </row>
    <row r="72" spans="1:20">
      <c r="A72" s="2" t="s">
        <v>932</v>
      </c>
    </row>
    <row r="74" spans="1:20">
      <c r="B74" s="3" t="s">
        <v>140</v>
      </c>
      <c r="C74" s="3" t="s">
        <v>304</v>
      </c>
      <c r="D74" s="3" t="s">
        <v>305</v>
      </c>
      <c r="E74" s="3" t="s">
        <v>306</v>
      </c>
      <c r="F74" s="3" t="s">
        <v>307</v>
      </c>
      <c r="G74" s="3" t="s">
        <v>308</v>
      </c>
      <c r="H74" s="3" t="s">
        <v>309</v>
      </c>
      <c r="I74" s="3" t="s">
        <v>310</v>
      </c>
      <c r="J74" s="3" t="s">
        <v>311</v>
      </c>
      <c r="K74" s="3" t="s">
        <v>292</v>
      </c>
      <c r="L74" s="3" t="s">
        <v>810</v>
      </c>
      <c r="M74" s="3" t="s">
        <v>811</v>
      </c>
      <c r="N74" s="3" t="s">
        <v>812</v>
      </c>
      <c r="O74" s="3" t="s">
        <v>813</v>
      </c>
      <c r="P74" s="3" t="s">
        <v>814</v>
      </c>
      <c r="Q74" s="3" t="s">
        <v>815</v>
      </c>
      <c r="R74" s="3" t="s">
        <v>816</v>
      </c>
      <c r="S74" s="3" t="s">
        <v>817</v>
      </c>
    </row>
    <row r="75" spans="1:20">
      <c r="A75" s="11" t="s">
        <v>173</v>
      </c>
      <c r="B75" s="6">
        <f>(1-'AMD'!B$40)*'Yard'!B$59</f>
        <v>0</v>
      </c>
      <c r="C75" s="6">
        <f>(1-'AMD'!C$40)*'Yard'!C$59</f>
        <v>0</v>
      </c>
      <c r="D75" s="6">
        <f>(1-'AMD'!D$40)*'Yard'!D$59</f>
        <v>0</v>
      </c>
      <c r="E75" s="6">
        <f>(1-'AMD'!E$40)*'Yard'!E$59</f>
        <v>0</v>
      </c>
      <c r="F75" s="6">
        <f>(1-'AMD'!F$40)*'Yard'!F$59</f>
        <v>0</v>
      </c>
      <c r="G75" s="6">
        <f>(1-'AMD'!G$40)*'Yard'!G$59</f>
        <v>0</v>
      </c>
      <c r="H75" s="6">
        <f>(1-'AMD'!H$40)*'Yard'!H$59</f>
        <v>0</v>
      </c>
      <c r="I75" s="6">
        <f>(1-'AMD'!I$40)*'Yard'!I$59</f>
        <v>0</v>
      </c>
      <c r="J75" s="6">
        <f>(1-'AMD'!J$40)*'Yard'!J$59</f>
        <v>0</v>
      </c>
      <c r="K75" s="6">
        <f>(1-'AMD'!B$40)*'Yard'!K$59</f>
        <v>0</v>
      </c>
      <c r="L75" s="6">
        <f>(1-'AMD'!C$40)*'Yard'!L$59</f>
        <v>0</v>
      </c>
      <c r="M75" s="6">
        <f>(1-'AMD'!D$40)*'Yard'!M$59</f>
        <v>0</v>
      </c>
      <c r="N75" s="6">
        <f>(1-'AMD'!E$40)*'Yard'!N$59</f>
        <v>0</v>
      </c>
      <c r="O75" s="6">
        <f>(1-'AMD'!F$40)*'Yard'!O$59</f>
        <v>0</v>
      </c>
      <c r="P75" s="6">
        <f>(1-'AMD'!G$40)*'Yard'!P$59</f>
        <v>0</v>
      </c>
      <c r="Q75" s="6">
        <f>(1-'AMD'!H$40)*'Yard'!Q$59</f>
        <v>0</v>
      </c>
      <c r="R75" s="6">
        <f>(1-'AMD'!I$40)*'Yard'!R$59</f>
        <v>0</v>
      </c>
      <c r="S75" s="6">
        <f>(1-'AMD'!J$40)*'Yard'!S$59</f>
        <v>0</v>
      </c>
      <c r="T75" s="10"/>
    </row>
    <row r="76" spans="1:20">
      <c r="A76" s="11" t="s">
        <v>210</v>
      </c>
      <c r="B76" s="6">
        <f>(1-'AMD'!B$41)*'Yard'!B$60</f>
        <v>0</v>
      </c>
      <c r="C76" s="6">
        <f>(1-'AMD'!C$41)*'Yard'!C$60</f>
        <v>0</v>
      </c>
      <c r="D76" s="6">
        <f>(1-'AMD'!D$41)*'Yard'!D$60</f>
        <v>0</v>
      </c>
      <c r="E76" s="6">
        <f>(1-'AMD'!E$41)*'Yard'!E$60</f>
        <v>0</v>
      </c>
      <c r="F76" s="6">
        <f>(1-'AMD'!F$41)*'Yard'!F$60</f>
        <v>0</v>
      </c>
      <c r="G76" s="6">
        <f>(1-'AMD'!G$41)*'Yard'!G$60</f>
        <v>0</v>
      </c>
      <c r="H76" s="6">
        <f>(1-'AMD'!H$41)*'Yard'!H$60</f>
        <v>0</v>
      </c>
      <c r="I76" s="6">
        <f>(1-'AMD'!I$41)*'Yard'!I$60</f>
        <v>0</v>
      </c>
      <c r="J76" s="6">
        <f>(1-'AMD'!J$41)*'Yard'!J$60</f>
        <v>0</v>
      </c>
      <c r="K76" s="6">
        <f>(1-'AMD'!B$41)*'Yard'!K$60</f>
        <v>0</v>
      </c>
      <c r="L76" s="6">
        <f>(1-'AMD'!C$41)*'Yard'!L$60</f>
        <v>0</v>
      </c>
      <c r="M76" s="6">
        <f>(1-'AMD'!D$41)*'Yard'!M$60</f>
        <v>0</v>
      </c>
      <c r="N76" s="6">
        <f>(1-'AMD'!E$41)*'Yard'!N$60</f>
        <v>0</v>
      </c>
      <c r="O76" s="6">
        <f>(1-'AMD'!F$41)*'Yard'!O$60</f>
        <v>0</v>
      </c>
      <c r="P76" s="6">
        <f>(1-'AMD'!G$41)*'Yard'!P$60</f>
        <v>0</v>
      </c>
      <c r="Q76" s="6">
        <f>(1-'AMD'!H$41)*'Yard'!Q$60</f>
        <v>0</v>
      </c>
      <c r="R76" s="6">
        <f>(1-'AMD'!I$41)*'Yard'!R$60</f>
        <v>0</v>
      </c>
      <c r="S76" s="6">
        <f>(1-'AMD'!J$41)*'Yard'!S$60</f>
        <v>0</v>
      </c>
      <c r="T76" s="10"/>
    </row>
    <row r="77" spans="1:20">
      <c r="A77" s="11" t="s">
        <v>175</v>
      </c>
      <c r="B77" s="6">
        <f>(1-'AMD'!B$43)*'Yard'!B$61</f>
        <v>0</v>
      </c>
      <c r="C77" s="6">
        <f>(1-'AMD'!C$43)*'Yard'!C$61</f>
        <v>0</v>
      </c>
      <c r="D77" s="6">
        <f>(1-'AMD'!D$43)*'Yard'!D$61</f>
        <v>0</v>
      </c>
      <c r="E77" s="6">
        <f>(1-'AMD'!E$43)*'Yard'!E$61</f>
        <v>0</v>
      </c>
      <c r="F77" s="6">
        <f>(1-'AMD'!F$43)*'Yard'!F$61</f>
        <v>0</v>
      </c>
      <c r="G77" s="6">
        <f>(1-'AMD'!G$43)*'Yard'!G$61</f>
        <v>0</v>
      </c>
      <c r="H77" s="6">
        <f>(1-'AMD'!H$43)*'Yard'!H$61</f>
        <v>0</v>
      </c>
      <c r="I77" s="6">
        <f>(1-'AMD'!I$43)*'Yard'!I$61</f>
        <v>0</v>
      </c>
      <c r="J77" s="6">
        <f>(1-'AMD'!J$43)*'Yard'!J$61</f>
        <v>0</v>
      </c>
      <c r="K77" s="6">
        <f>(1-'AMD'!B$43)*'Yard'!K$61</f>
        <v>0</v>
      </c>
      <c r="L77" s="6">
        <f>(1-'AMD'!C$43)*'Yard'!L$61</f>
        <v>0</v>
      </c>
      <c r="M77" s="6">
        <f>(1-'AMD'!D$43)*'Yard'!M$61</f>
        <v>0</v>
      </c>
      <c r="N77" s="6">
        <f>(1-'AMD'!E$43)*'Yard'!N$61</f>
        <v>0</v>
      </c>
      <c r="O77" s="6">
        <f>(1-'AMD'!F$43)*'Yard'!O$61</f>
        <v>0</v>
      </c>
      <c r="P77" s="6">
        <f>(1-'AMD'!G$43)*'Yard'!P$61</f>
        <v>0</v>
      </c>
      <c r="Q77" s="6">
        <f>(1-'AMD'!H$43)*'Yard'!Q$61</f>
        <v>0</v>
      </c>
      <c r="R77" s="6">
        <f>(1-'AMD'!I$43)*'Yard'!R$61</f>
        <v>0</v>
      </c>
      <c r="S77" s="6">
        <f>(1-'AMD'!J$43)*'Yard'!S$61</f>
        <v>0</v>
      </c>
      <c r="T77" s="10"/>
    </row>
    <row r="78" spans="1:20">
      <c r="A78" s="11" t="s">
        <v>211</v>
      </c>
      <c r="B78" s="6">
        <f>(1-'AMD'!B$44)*'Yard'!B$62</f>
        <v>0</v>
      </c>
      <c r="C78" s="6">
        <f>(1-'AMD'!C$44)*'Yard'!C$62</f>
        <v>0</v>
      </c>
      <c r="D78" s="6">
        <f>(1-'AMD'!D$44)*'Yard'!D$62</f>
        <v>0</v>
      </c>
      <c r="E78" s="6">
        <f>(1-'AMD'!E$44)*'Yard'!E$62</f>
        <v>0</v>
      </c>
      <c r="F78" s="6">
        <f>(1-'AMD'!F$44)*'Yard'!F$62</f>
        <v>0</v>
      </c>
      <c r="G78" s="6">
        <f>(1-'AMD'!G$44)*'Yard'!G$62</f>
        <v>0</v>
      </c>
      <c r="H78" s="6">
        <f>(1-'AMD'!H$44)*'Yard'!H$62</f>
        <v>0</v>
      </c>
      <c r="I78" s="6">
        <f>(1-'AMD'!I$44)*'Yard'!I$62</f>
        <v>0</v>
      </c>
      <c r="J78" s="6">
        <f>(1-'AMD'!J$44)*'Yard'!J$62</f>
        <v>0</v>
      </c>
      <c r="K78" s="6">
        <f>(1-'AMD'!B$44)*'Yard'!K$62</f>
        <v>0</v>
      </c>
      <c r="L78" s="6">
        <f>(1-'AMD'!C$44)*'Yard'!L$62</f>
        <v>0</v>
      </c>
      <c r="M78" s="6">
        <f>(1-'AMD'!D$44)*'Yard'!M$62</f>
        <v>0</v>
      </c>
      <c r="N78" s="6">
        <f>(1-'AMD'!E$44)*'Yard'!N$62</f>
        <v>0</v>
      </c>
      <c r="O78" s="6">
        <f>(1-'AMD'!F$44)*'Yard'!O$62</f>
        <v>0</v>
      </c>
      <c r="P78" s="6">
        <f>(1-'AMD'!G$44)*'Yard'!P$62</f>
        <v>0</v>
      </c>
      <c r="Q78" s="6">
        <f>(1-'AMD'!H$44)*'Yard'!Q$62</f>
        <v>0</v>
      </c>
      <c r="R78" s="6">
        <f>(1-'AMD'!I$44)*'Yard'!R$62</f>
        <v>0</v>
      </c>
      <c r="S78" s="6">
        <f>(1-'AMD'!J$44)*'Yard'!S$62</f>
        <v>0</v>
      </c>
      <c r="T78" s="10"/>
    </row>
    <row r="79" spans="1:20">
      <c r="A79" s="11" t="s">
        <v>176</v>
      </c>
      <c r="B79" s="6">
        <f>(1-'AMD'!B$45)*'Yard'!B$63</f>
        <v>0</v>
      </c>
      <c r="C79" s="6">
        <f>(1-'AMD'!C$45)*'Yard'!C$63</f>
        <v>0</v>
      </c>
      <c r="D79" s="6">
        <f>(1-'AMD'!D$45)*'Yard'!D$63</f>
        <v>0</v>
      </c>
      <c r="E79" s="6">
        <f>(1-'AMD'!E$45)*'Yard'!E$63</f>
        <v>0</v>
      </c>
      <c r="F79" s="6">
        <f>(1-'AMD'!F$45)*'Yard'!F$63</f>
        <v>0</v>
      </c>
      <c r="G79" s="6">
        <f>(1-'AMD'!G$45)*'Yard'!G$63</f>
        <v>0</v>
      </c>
      <c r="H79" s="6">
        <f>(1-'AMD'!H$45)*'Yard'!H$63</f>
        <v>0</v>
      </c>
      <c r="I79" s="6">
        <f>(1-'AMD'!I$45)*'Yard'!I$63</f>
        <v>0</v>
      </c>
      <c r="J79" s="6">
        <f>(1-'AMD'!J$45)*'Yard'!J$63</f>
        <v>0</v>
      </c>
      <c r="K79" s="6">
        <f>(1-'AMD'!B$45)*'Yard'!K$63</f>
        <v>0</v>
      </c>
      <c r="L79" s="6">
        <f>(1-'AMD'!C$45)*'Yard'!L$63</f>
        <v>0</v>
      </c>
      <c r="M79" s="6">
        <f>(1-'AMD'!D$45)*'Yard'!M$63</f>
        <v>0</v>
      </c>
      <c r="N79" s="6">
        <f>(1-'AMD'!E$45)*'Yard'!N$63</f>
        <v>0</v>
      </c>
      <c r="O79" s="6">
        <f>(1-'AMD'!F$45)*'Yard'!O$63</f>
        <v>0</v>
      </c>
      <c r="P79" s="6">
        <f>(1-'AMD'!G$45)*'Yard'!P$63</f>
        <v>0</v>
      </c>
      <c r="Q79" s="6">
        <f>(1-'AMD'!H$45)*'Yard'!Q$63</f>
        <v>0</v>
      </c>
      <c r="R79" s="6">
        <f>(1-'AMD'!I$45)*'Yard'!R$63</f>
        <v>0</v>
      </c>
      <c r="S79" s="6">
        <f>(1-'AMD'!J$45)*'Yard'!S$63</f>
        <v>0</v>
      </c>
      <c r="T79" s="10"/>
    </row>
    <row r="80" spans="1:20">
      <c r="A80" s="11" t="s">
        <v>177</v>
      </c>
      <c r="B80" s="6">
        <f>(1-'AMD'!B$46)*'Yard'!B$64</f>
        <v>0</v>
      </c>
      <c r="C80" s="6">
        <f>(1-'AMD'!C$46)*'Yard'!C$64</f>
        <v>0</v>
      </c>
      <c r="D80" s="6">
        <f>(1-'AMD'!D$46)*'Yard'!D$64</f>
        <v>0</v>
      </c>
      <c r="E80" s="6">
        <f>(1-'AMD'!E$46)*'Yard'!E$64</f>
        <v>0</v>
      </c>
      <c r="F80" s="6">
        <f>(1-'AMD'!F$46)*'Yard'!F$64</f>
        <v>0</v>
      </c>
      <c r="G80" s="6">
        <f>(1-'AMD'!G$46)*'Yard'!G$64</f>
        <v>0</v>
      </c>
      <c r="H80" s="6">
        <f>(1-'AMD'!H$46)*'Yard'!H$64</f>
        <v>0</v>
      </c>
      <c r="I80" s="6">
        <f>(1-'AMD'!I$46)*'Yard'!I$64</f>
        <v>0</v>
      </c>
      <c r="J80" s="6">
        <f>(1-'AMD'!J$46)*'Yard'!J$64</f>
        <v>0</v>
      </c>
      <c r="K80" s="6">
        <f>(1-'AMD'!B$46)*'Yard'!K$64</f>
        <v>0</v>
      </c>
      <c r="L80" s="6">
        <f>(1-'AMD'!C$46)*'Yard'!L$64</f>
        <v>0</v>
      </c>
      <c r="M80" s="6">
        <f>(1-'AMD'!D$46)*'Yard'!M$64</f>
        <v>0</v>
      </c>
      <c r="N80" s="6">
        <f>(1-'AMD'!E$46)*'Yard'!N$64</f>
        <v>0</v>
      </c>
      <c r="O80" s="6">
        <f>(1-'AMD'!F$46)*'Yard'!O$64</f>
        <v>0</v>
      </c>
      <c r="P80" s="6">
        <f>(1-'AMD'!G$46)*'Yard'!P$64</f>
        <v>0</v>
      </c>
      <c r="Q80" s="6">
        <f>(1-'AMD'!H$46)*'Yard'!Q$64</f>
        <v>0</v>
      </c>
      <c r="R80" s="6">
        <f>(1-'AMD'!I$46)*'Yard'!R$64</f>
        <v>0</v>
      </c>
      <c r="S80" s="6">
        <f>(1-'AMD'!J$46)*'Yard'!S$64</f>
        <v>0</v>
      </c>
      <c r="T80" s="10"/>
    </row>
    <row r="81" spans="1:20">
      <c r="A81" s="11" t="s">
        <v>191</v>
      </c>
      <c r="B81" s="6">
        <f>(1-'AMD'!B$47)*'Yard'!B$65</f>
        <v>0</v>
      </c>
      <c r="C81" s="6">
        <f>(1-'AMD'!C$47)*'Yard'!C$65</f>
        <v>0</v>
      </c>
      <c r="D81" s="6">
        <f>(1-'AMD'!D$47)*'Yard'!D$65</f>
        <v>0</v>
      </c>
      <c r="E81" s="6">
        <f>(1-'AMD'!E$47)*'Yard'!E$65</f>
        <v>0</v>
      </c>
      <c r="F81" s="6">
        <f>(1-'AMD'!F$47)*'Yard'!F$65</f>
        <v>0</v>
      </c>
      <c r="G81" s="6">
        <f>(1-'AMD'!G$47)*'Yard'!G$65</f>
        <v>0</v>
      </c>
      <c r="H81" s="6">
        <f>(1-'AMD'!H$47)*'Yard'!H$65</f>
        <v>0</v>
      </c>
      <c r="I81" s="6">
        <f>(1-'AMD'!I$47)*'Yard'!I$65</f>
        <v>0</v>
      </c>
      <c r="J81" s="6">
        <f>(1-'AMD'!J$47)*'Yard'!J$65</f>
        <v>0</v>
      </c>
      <c r="K81" s="6">
        <f>(1-'AMD'!B$47)*'Yard'!K$65</f>
        <v>0</v>
      </c>
      <c r="L81" s="6">
        <f>(1-'AMD'!C$47)*'Yard'!L$65</f>
        <v>0</v>
      </c>
      <c r="M81" s="6">
        <f>(1-'AMD'!D$47)*'Yard'!M$65</f>
        <v>0</v>
      </c>
      <c r="N81" s="6">
        <f>(1-'AMD'!E$47)*'Yard'!N$65</f>
        <v>0</v>
      </c>
      <c r="O81" s="6">
        <f>(1-'AMD'!F$47)*'Yard'!O$65</f>
        <v>0</v>
      </c>
      <c r="P81" s="6">
        <f>(1-'AMD'!G$47)*'Yard'!P$65</f>
        <v>0</v>
      </c>
      <c r="Q81" s="6">
        <f>(1-'AMD'!H$47)*'Yard'!Q$65</f>
        <v>0</v>
      </c>
      <c r="R81" s="6">
        <f>(1-'AMD'!I$47)*'Yard'!R$65</f>
        <v>0</v>
      </c>
      <c r="S81" s="6">
        <f>(1-'AMD'!J$47)*'Yard'!S$65</f>
        <v>0</v>
      </c>
      <c r="T81" s="10"/>
    </row>
    <row r="82" spans="1:20">
      <c r="A82" s="11" t="s">
        <v>178</v>
      </c>
      <c r="B82" s="6">
        <f>(1-'AMD'!B$48)*'Yard'!B$66</f>
        <v>0</v>
      </c>
      <c r="C82" s="6">
        <f>(1-'AMD'!C$48)*'Yard'!C$66</f>
        <v>0</v>
      </c>
      <c r="D82" s="6">
        <f>(1-'AMD'!D$48)*'Yard'!D$66</f>
        <v>0</v>
      </c>
      <c r="E82" s="6">
        <f>(1-'AMD'!E$48)*'Yard'!E$66</f>
        <v>0</v>
      </c>
      <c r="F82" s="6">
        <f>(1-'AMD'!F$48)*'Yard'!F$66</f>
        <v>0</v>
      </c>
      <c r="G82" s="6">
        <f>(1-'AMD'!G$48)*'Yard'!G$66</f>
        <v>0</v>
      </c>
      <c r="H82" s="6">
        <f>(1-'AMD'!H$48)*'Yard'!H$66</f>
        <v>0</v>
      </c>
      <c r="I82" s="6">
        <f>(1-'AMD'!I$48)*'Yard'!I$66</f>
        <v>0</v>
      </c>
      <c r="J82" s="6">
        <f>(1-'AMD'!J$48)*'Yard'!J$66</f>
        <v>0</v>
      </c>
      <c r="K82" s="6">
        <f>(1-'AMD'!B$48)*'Yard'!K$66</f>
        <v>0</v>
      </c>
      <c r="L82" s="6">
        <f>(1-'AMD'!C$48)*'Yard'!L$66</f>
        <v>0</v>
      </c>
      <c r="M82" s="6">
        <f>(1-'AMD'!D$48)*'Yard'!M$66</f>
        <v>0</v>
      </c>
      <c r="N82" s="6">
        <f>(1-'AMD'!E$48)*'Yard'!N$66</f>
        <v>0</v>
      </c>
      <c r="O82" s="6">
        <f>(1-'AMD'!F$48)*'Yard'!O$66</f>
        <v>0</v>
      </c>
      <c r="P82" s="6">
        <f>(1-'AMD'!G$48)*'Yard'!P$66</f>
        <v>0</v>
      </c>
      <c r="Q82" s="6">
        <f>(1-'AMD'!H$48)*'Yard'!Q$66</f>
        <v>0</v>
      </c>
      <c r="R82" s="6">
        <f>(1-'AMD'!I$48)*'Yard'!R$66</f>
        <v>0</v>
      </c>
      <c r="S82" s="6">
        <f>(1-'AMD'!J$48)*'Yard'!S$66</f>
        <v>0</v>
      </c>
      <c r="T82" s="10"/>
    </row>
    <row r="83" spans="1:20">
      <c r="A83" s="11" t="s">
        <v>179</v>
      </c>
      <c r="B83" s="6">
        <f>(1-'AMD'!B$49)*'Yard'!B$67</f>
        <v>0</v>
      </c>
      <c r="C83" s="6">
        <f>(1-'AMD'!C$49)*'Yard'!C$67</f>
        <v>0</v>
      </c>
      <c r="D83" s="6">
        <f>(1-'AMD'!D$49)*'Yard'!D$67</f>
        <v>0</v>
      </c>
      <c r="E83" s="6">
        <f>(1-'AMD'!E$49)*'Yard'!E$67</f>
        <v>0</v>
      </c>
      <c r="F83" s="6">
        <f>(1-'AMD'!F$49)*'Yard'!F$67</f>
        <v>0</v>
      </c>
      <c r="G83" s="6">
        <f>(1-'AMD'!G$49)*'Yard'!G$67</f>
        <v>0</v>
      </c>
      <c r="H83" s="6">
        <f>(1-'AMD'!H$49)*'Yard'!H$67</f>
        <v>0</v>
      </c>
      <c r="I83" s="6">
        <f>(1-'AMD'!I$49)*'Yard'!I$67</f>
        <v>0</v>
      </c>
      <c r="J83" s="6">
        <f>(1-'AMD'!J$49)*'Yard'!J$67</f>
        <v>0</v>
      </c>
      <c r="K83" s="6">
        <f>(1-'AMD'!B$49)*'Yard'!K$67</f>
        <v>0</v>
      </c>
      <c r="L83" s="6">
        <f>(1-'AMD'!C$49)*'Yard'!L$67</f>
        <v>0</v>
      </c>
      <c r="M83" s="6">
        <f>(1-'AMD'!D$49)*'Yard'!M$67</f>
        <v>0</v>
      </c>
      <c r="N83" s="6">
        <f>(1-'AMD'!E$49)*'Yard'!N$67</f>
        <v>0</v>
      </c>
      <c r="O83" s="6">
        <f>(1-'AMD'!F$49)*'Yard'!O$67</f>
        <v>0</v>
      </c>
      <c r="P83" s="6">
        <f>(1-'AMD'!G$49)*'Yard'!P$67</f>
        <v>0</v>
      </c>
      <c r="Q83" s="6">
        <f>(1-'AMD'!H$49)*'Yard'!Q$67</f>
        <v>0</v>
      </c>
      <c r="R83" s="6">
        <f>(1-'AMD'!I$49)*'Yard'!R$67</f>
        <v>0</v>
      </c>
      <c r="S83" s="6">
        <f>(1-'AMD'!J$49)*'Yard'!S$67</f>
        <v>0</v>
      </c>
      <c r="T83" s="10"/>
    </row>
    <row r="84" spans="1:20">
      <c r="A84" s="11" t="s">
        <v>192</v>
      </c>
      <c r="B84" s="6">
        <f>(1-'AMD'!B$50)*'Yard'!B$68</f>
        <v>0</v>
      </c>
      <c r="C84" s="6">
        <f>(1-'AMD'!C$50)*'Yard'!C$68</f>
        <v>0</v>
      </c>
      <c r="D84" s="6">
        <f>(1-'AMD'!D$50)*'Yard'!D$68</f>
        <v>0</v>
      </c>
      <c r="E84" s="6">
        <f>(1-'AMD'!E$50)*'Yard'!E$68</f>
        <v>0</v>
      </c>
      <c r="F84" s="6">
        <f>(1-'AMD'!F$50)*'Yard'!F$68</f>
        <v>0</v>
      </c>
      <c r="G84" s="6">
        <f>(1-'AMD'!G$50)*'Yard'!G$68</f>
        <v>0</v>
      </c>
      <c r="H84" s="6">
        <f>(1-'AMD'!H$50)*'Yard'!H$68</f>
        <v>0</v>
      </c>
      <c r="I84" s="6">
        <f>(1-'AMD'!I$50)*'Yard'!I$68</f>
        <v>0</v>
      </c>
      <c r="J84" s="6">
        <f>(1-'AMD'!J$50)*'Yard'!J$68</f>
        <v>0</v>
      </c>
      <c r="K84" s="6">
        <f>(1-'AMD'!B$50)*'Yard'!K$68</f>
        <v>0</v>
      </c>
      <c r="L84" s="6">
        <f>(1-'AMD'!C$50)*'Yard'!L$68</f>
        <v>0</v>
      </c>
      <c r="M84" s="6">
        <f>(1-'AMD'!D$50)*'Yard'!M$68</f>
        <v>0</v>
      </c>
      <c r="N84" s="6">
        <f>(1-'AMD'!E$50)*'Yard'!N$68</f>
        <v>0</v>
      </c>
      <c r="O84" s="6">
        <f>(1-'AMD'!F$50)*'Yard'!O$68</f>
        <v>0</v>
      </c>
      <c r="P84" s="6">
        <f>(1-'AMD'!G$50)*'Yard'!P$68</f>
        <v>0</v>
      </c>
      <c r="Q84" s="6">
        <f>(1-'AMD'!H$50)*'Yard'!Q$68</f>
        <v>0</v>
      </c>
      <c r="R84" s="6">
        <f>(1-'AMD'!I$50)*'Yard'!R$68</f>
        <v>0</v>
      </c>
      <c r="S84" s="6">
        <f>(1-'AMD'!J$50)*'Yard'!S$68</f>
        <v>0</v>
      </c>
      <c r="T84" s="10"/>
    </row>
    <row r="85" spans="1:20">
      <c r="A85" s="11" t="s">
        <v>212</v>
      </c>
      <c r="B85" s="6">
        <f>(1-'AMD'!B$51)*'Yard'!B$72</f>
        <v>0</v>
      </c>
      <c r="C85" s="6">
        <f>(1-'AMD'!C$51)*'Yard'!C$72</f>
        <v>0</v>
      </c>
      <c r="D85" s="6">
        <f>(1-'AMD'!D$51)*'Yard'!D$72</f>
        <v>0</v>
      </c>
      <c r="E85" s="6">
        <f>(1-'AMD'!E$51)*'Yard'!E$72</f>
        <v>0</v>
      </c>
      <c r="F85" s="6">
        <f>(1-'AMD'!F$51)*'Yard'!F$72</f>
        <v>0</v>
      </c>
      <c r="G85" s="6">
        <f>(1-'AMD'!G$51)*'Yard'!G$72</f>
        <v>0</v>
      </c>
      <c r="H85" s="6">
        <f>(1-'AMD'!H$51)*'Yard'!H$72</f>
        <v>0</v>
      </c>
      <c r="I85" s="6">
        <f>(1-'AMD'!I$51)*'Yard'!I$72</f>
        <v>0</v>
      </c>
      <c r="J85" s="6">
        <f>(1-'AMD'!J$51)*'Yard'!J$72</f>
        <v>0</v>
      </c>
      <c r="K85" s="6">
        <f>(1-'AMD'!B$51)*'Yard'!K$72</f>
        <v>0</v>
      </c>
      <c r="L85" s="6">
        <f>(1-'AMD'!C$51)*'Yard'!L$72</f>
        <v>0</v>
      </c>
      <c r="M85" s="6">
        <f>(1-'AMD'!D$51)*'Yard'!M$72</f>
        <v>0</v>
      </c>
      <c r="N85" s="6">
        <f>(1-'AMD'!E$51)*'Yard'!N$72</f>
        <v>0</v>
      </c>
      <c r="O85" s="6">
        <f>(1-'AMD'!F$51)*'Yard'!O$72</f>
        <v>0</v>
      </c>
      <c r="P85" s="6">
        <f>(1-'AMD'!G$51)*'Yard'!P$72</f>
        <v>0</v>
      </c>
      <c r="Q85" s="6">
        <f>(1-'AMD'!H$51)*'Yard'!Q$72</f>
        <v>0</v>
      </c>
      <c r="R85" s="6">
        <f>(1-'AMD'!I$51)*'Yard'!R$72</f>
        <v>0</v>
      </c>
      <c r="S85" s="6">
        <f>(1-'AMD'!J$51)*'Yard'!S$72</f>
        <v>0</v>
      </c>
      <c r="T85" s="10"/>
    </row>
    <row r="86" spans="1:20">
      <c r="A86" s="11" t="s">
        <v>213</v>
      </c>
      <c r="B86" s="6">
        <f>(1-'AMD'!B$52)*'Yard'!B$73</f>
        <v>0</v>
      </c>
      <c r="C86" s="6">
        <f>(1-'AMD'!C$52)*'Yard'!C$73</f>
        <v>0</v>
      </c>
      <c r="D86" s="6">
        <f>(1-'AMD'!D$52)*'Yard'!D$73</f>
        <v>0</v>
      </c>
      <c r="E86" s="6">
        <f>(1-'AMD'!E$52)*'Yard'!E$73</f>
        <v>0</v>
      </c>
      <c r="F86" s="6">
        <f>(1-'AMD'!F$52)*'Yard'!F$73</f>
        <v>0</v>
      </c>
      <c r="G86" s="6">
        <f>(1-'AMD'!G$52)*'Yard'!G$73</f>
        <v>0</v>
      </c>
      <c r="H86" s="6">
        <f>(1-'AMD'!H$52)*'Yard'!H$73</f>
        <v>0</v>
      </c>
      <c r="I86" s="6">
        <f>(1-'AMD'!I$52)*'Yard'!I$73</f>
        <v>0</v>
      </c>
      <c r="J86" s="6">
        <f>(1-'AMD'!J$52)*'Yard'!J$73</f>
        <v>0</v>
      </c>
      <c r="K86" s="6">
        <f>(1-'AMD'!B$52)*'Yard'!K$73</f>
        <v>0</v>
      </c>
      <c r="L86" s="6">
        <f>(1-'AMD'!C$52)*'Yard'!L$73</f>
        <v>0</v>
      </c>
      <c r="M86" s="6">
        <f>(1-'AMD'!D$52)*'Yard'!M$73</f>
        <v>0</v>
      </c>
      <c r="N86" s="6">
        <f>(1-'AMD'!E$52)*'Yard'!N$73</f>
        <v>0</v>
      </c>
      <c r="O86" s="6">
        <f>(1-'AMD'!F$52)*'Yard'!O$73</f>
        <v>0</v>
      </c>
      <c r="P86" s="6">
        <f>(1-'AMD'!G$52)*'Yard'!P$73</f>
        <v>0</v>
      </c>
      <c r="Q86" s="6">
        <f>(1-'AMD'!H$52)*'Yard'!Q$73</f>
        <v>0</v>
      </c>
      <c r="R86" s="6">
        <f>(1-'AMD'!I$52)*'Yard'!R$73</f>
        <v>0</v>
      </c>
      <c r="S86" s="6">
        <f>(1-'AMD'!J$52)*'Yard'!S$73</f>
        <v>0</v>
      </c>
      <c r="T86" s="10"/>
    </row>
    <row r="87" spans="1:20">
      <c r="A87" s="11" t="s">
        <v>214</v>
      </c>
      <c r="B87" s="6">
        <f>(1-'AMD'!B$53)*'Yard'!B$74</f>
        <v>0</v>
      </c>
      <c r="C87" s="6">
        <f>(1-'AMD'!C$53)*'Yard'!C$74</f>
        <v>0</v>
      </c>
      <c r="D87" s="6">
        <f>(1-'AMD'!D$53)*'Yard'!D$74</f>
        <v>0</v>
      </c>
      <c r="E87" s="6">
        <f>(1-'AMD'!E$53)*'Yard'!E$74</f>
        <v>0</v>
      </c>
      <c r="F87" s="6">
        <f>(1-'AMD'!F$53)*'Yard'!F$74</f>
        <v>0</v>
      </c>
      <c r="G87" s="6">
        <f>(1-'AMD'!G$53)*'Yard'!G$74</f>
        <v>0</v>
      </c>
      <c r="H87" s="6">
        <f>(1-'AMD'!H$53)*'Yard'!H$74</f>
        <v>0</v>
      </c>
      <c r="I87" s="6">
        <f>(1-'AMD'!I$53)*'Yard'!I$74</f>
        <v>0</v>
      </c>
      <c r="J87" s="6">
        <f>(1-'AMD'!J$53)*'Yard'!J$74</f>
        <v>0</v>
      </c>
      <c r="K87" s="6">
        <f>(1-'AMD'!B$53)*'Yard'!K$74</f>
        <v>0</v>
      </c>
      <c r="L87" s="6">
        <f>(1-'AMD'!C$53)*'Yard'!L$74</f>
        <v>0</v>
      </c>
      <c r="M87" s="6">
        <f>(1-'AMD'!D$53)*'Yard'!M$74</f>
        <v>0</v>
      </c>
      <c r="N87" s="6">
        <f>(1-'AMD'!E$53)*'Yard'!N$74</f>
        <v>0</v>
      </c>
      <c r="O87" s="6">
        <f>(1-'AMD'!F$53)*'Yard'!O$74</f>
        <v>0</v>
      </c>
      <c r="P87" s="6">
        <f>(1-'AMD'!G$53)*'Yard'!P$74</f>
        <v>0</v>
      </c>
      <c r="Q87" s="6">
        <f>(1-'AMD'!H$53)*'Yard'!Q$74</f>
        <v>0</v>
      </c>
      <c r="R87" s="6">
        <f>(1-'AMD'!I$53)*'Yard'!R$74</f>
        <v>0</v>
      </c>
      <c r="S87" s="6">
        <f>(1-'AMD'!J$53)*'Yard'!S$74</f>
        <v>0</v>
      </c>
      <c r="T87" s="10"/>
    </row>
    <row r="88" spans="1:20">
      <c r="A88" s="11" t="s">
        <v>215</v>
      </c>
      <c r="B88" s="6">
        <f>(1-'AMD'!B$54)*'Yard'!B$75</f>
        <v>0</v>
      </c>
      <c r="C88" s="6">
        <f>(1-'AMD'!C$54)*'Yard'!C$75</f>
        <v>0</v>
      </c>
      <c r="D88" s="6">
        <f>(1-'AMD'!D$54)*'Yard'!D$75</f>
        <v>0</v>
      </c>
      <c r="E88" s="6">
        <f>(1-'AMD'!E$54)*'Yard'!E$75</f>
        <v>0</v>
      </c>
      <c r="F88" s="6">
        <f>(1-'AMD'!F$54)*'Yard'!F$75</f>
        <v>0</v>
      </c>
      <c r="G88" s="6">
        <f>(1-'AMD'!G$54)*'Yard'!G$75</f>
        <v>0</v>
      </c>
      <c r="H88" s="6">
        <f>(1-'AMD'!H$54)*'Yard'!H$75</f>
        <v>0</v>
      </c>
      <c r="I88" s="6">
        <f>(1-'AMD'!I$54)*'Yard'!I$75</f>
        <v>0</v>
      </c>
      <c r="J88" s="6">
        <f>(1-'AMD'!J$54)*'Yard'!J$75</f>
        <v>0</v>
      </c>
      <c r="K88" s="6">
        <f>(1-'AMD'!B$54)*'Yard'!K$75</f>
        <v>0</v>
      </c>
      <c r="L88" s="6">
        <f>(1-'AMD'!C$54)*'Yard'!L$75</f>
        <v>0</v>
      </c>
      <c r="M88" s="6">
        <f>(1-'AMD'!D$54)*'Yard'!M$75</f>
        <v>0</v>
      </c>
      <c r="N88" s="6">
        <f>(1-'AMD'!E$54)*'Yard'!N$75</f>
        <v>0</v>
      </c>
      <c r="O88" s="6">
        <f>(1-'AMD'!F$54)*'Yard'!O$75</f>
        <v>0</v>
      </c>
      <c r="P88" s="6">
        <f>(1-'AMD'!G$54)*'Yard'!P$75</f>
        <v>0</v>
      </c>
      <c r="Q88" s="6">
        <f>(1-'AMD'!H$54)*'Yard'!Q$75</f>
        <v>0</v>
      </c>
      <c r="R88" s="6">
        <f>(1-'AMD'!I$54)*'Yard'!R$75</f>
        <v>0</v>
      </c>
      <c r="S88" s="6">
        <f>(1-'AMD'!J$54)*'Yard'!S$75</f>
        <v>0</v>
      </c>
      <c r="T88" s="10"/>
    </row>
    <row r="89" spans="1:20">
      <c r="A89" s="11" t="s">
        <v>216</v>
      </c>
      <c r="B89" s="6">
        <f>(1-'AMD'!B$55)*'Yard'!B$76</f>
        <v>0</v>
      </c>
      <c r="C89" s="6">
        <f>(1-'AMD'!C$55)*'Yard'!C$76</f>
        <v>0</v>
      </c>
      <c r="D89" s="6">
        <f>(1-'AMD'!D$55)*'Yard'!D$76</f>
        <v>0</v>
      </c>
      <c r="E89" s="6">
        <f>(1-'AMD'!E$55)*'Yard'!E$76</f>
        <v>0</v>
      </c>
      <c r="F89" s="6">
        <f>(1-'AMD'!F$55)*'Yard'!F$76</f>
        <v>0</v>
      </c>
      <c r="G89" s="6">
        <f>(1-'AMD'!G$55)*'Yard'!G$76</f>
        <v>0</v>
      </c>
      <c r="H89" s="6">
        <f>(1-'AMD'!H$55)*'Yard'!H$76</f>
        <v>0</v>
      </c>
      <c r="I89" s="6">
        <f>(1-'AMD'!I$55)*'Yard'!I$76</f>
        <v>0</v>
      </c>
      <c r="J89" s="6">
        <f>(1-'AMD'!J$55)*'Yard'!J$76</f>
        <v>0</v>
      </c>
      <c r="K89" s="6">
        <f>(1-'AMD'!B$55)*'Yard'!K$76</f>
        <v>0</v>
      </c>
      <c r="L89" s="6">
        <f>(1-'AMD'!C$55)*'Yard'!L$76</f>
        <v>0</v>
      </c>
      <c r="M89" s="6">
        <f>(1-'AMD'!D$55)*'Yard'!M$76</f>
        <v>0</v>
      </c>
      <c r="N89" s="6">
        <f>(1-'AMD'!E$55)*'Yard'!N$76</f>
        <v>0</v>
      </c>
      <c r="O89" s="6">
        <f>(1-'AMD'!F$55)*'Yard'!O$76</f>
        <v>0</v>
      </c>
      <c r="P89" s="6">
        <f>(1-'AMD'!G$55)*'Yard'!P$76</f>
        <v>0</v>
      </c>
      <c r="Q89" s="6">
        <f>(1-'AMD'!H$55)*'Yard'!Q$76</f>
        <v>0</v>
      </c>
      <c r="R89" s="6">
        <f>(1-'AMD'!I$55)*'Yard'!R$76</f>
        <v>0</v>
      </c>
      <c r="S89" s="6">
        <f>(1-'AMD'!J$55)*'Yard'!S$76</f>
        <v>0</v>
      </c>
      <c r="T89" s="10"/>
    </row>
    <row r="91" spans="1:20">
      <c r="A91" s="1" t="s">
        <v>935</v>
      </c>
    </row>
    <row r="92" spans="1:20">
      <c r="A92" s="2" t="s">
        <v>349</v>
      </c>
    </row>
    <row r="93" spans="1:20">
      <c r="A93" s="12" t="s">
        <v>924</v>
      </c>
    </row>
    <row r="94" spans="1:20">
      <c r="A94" s="12" t="s">
        <v>936</v>
      </c>
    </row>
    <row r="95" spans="1:20">
      <c r="A95" s="2" t="s">
        <v>932</v>
      </c>
    </row>
    <row r="97" spans="1:20">
      <c r="B97" s="3" t="s">
        <v>140</v>
      </c>
      <c r="C97" s="3" t="s">
        <v>304</v>
      </c>
      <c r="D97" s="3" t="s">
        <v>305</v>
      </c>
      <c r="E97" s="3" t="s">
        <v>306</v>
      </c>
      <c r="F97" s="3" t="s">
        <v>307</v>
      </c>
      <c r="G97" s="3" t="s">
        <v>308</v>
      </c>
      <c r="H97" s="3" t="s">
        <v>309</v>
      </c>
      <c r="I97" s="3" t="s">
        <v>310</v>
      </c>
      <c r="J97" s="3" t="s">
        <v>311</v>
      </c>
      <c r="K97" s="3" t="s">
        <v>292</v>
      </c>
      <c r="L97" s="3" t="s">
        <v>810</v>
      </c>
      <c r="M97" s="3" t="s">
        <v>811</v>
      </c>
      <c r="N97" s="3" t="s">
        <v>812</v>
      </c>
      <c r="O97" s="3" t="s">
        <v>813</v>
      </c>
      <c r="P97" s="3" t="s">
        <v>814</v>
      </c>
      <c r="Q97" s="3" t="s">
        <v>815</v>
      </c>
      <c r="R97" s="3" t="s">
        <v>816</v>
      </c>
      <c r="S97" s="3" t="s">
        <v>817</v>
      </c>
    </row>
    <row r="98" spans="1:20">
      <c r="A98" s="11" t="s">
        <v>173</v>
      </c>
      <c r="B98" s="6">
        <f>(1-'AMD'!B$40)*'Yard'!B$88</f>
        <v>0</v>
      </c>
      <c r="C98" s="6">
        <f>(1-'AMD'!C$40)*'Yard'!C$88</f>
        <v>0</v>
      </c>
      <c r="D98" s="6">
        <f>(1-'AMD'!D$40)*'Yard'!D$88</f>
        <v>0</v>
      </c>
      <c r="E98" s="6">
        <f>(1-'AMD'!E$40)*'Yard'!E$88</f>
        <v>0</v>
      </c>
      <c r="F98" s="6">
        <f>(1-'AMD'!F$40)*'Yard'!F$88</f>
        <v>0</v>
      </c>
      <c r="G98" s="6">
        <f>(1-'AMD'!G$40)*'Yard'!G$88</f>
        <v>0</v>
      </c>
      <c r="H98" s="6">
        <f>(1-'AMD'!H$40)*'Yard'!H$88</f>
        <v>0</v>
      </c>
      <c r="I98" s="6">
        <f>(1-'AMD'!I$40)*'Yard'!I$88</f>
        <v>0</v>
      </c>
      <c r="J98" s="6">
        <f>(1-'AMD'!J$40)*'Yard'!J$88</f>
        <v>0</v>
      </c>
      <c r="K98" s="6">
        <f>(1-'AMD'!B$40)*'Yard'!K$88</f>
        <v>0</v>
      </c>
      <c r="L98" s="6">
        <f>(1-'AMD'!C$40)*'Yard'!L$88</f>
        <v>0</v>
      </c>
      <c r="M98" s="6">
        <f>(1-'AMD'!D$40)*'Yard'!M$88</f>
        <v>0</v>
      </c>
      <c r="N98" s="6">
        <f>(1-'AMD'!E$40)*'Yard'!N$88</f>
        <v>0</v>
      </c>
      <c r="O98" s="6">
        <f>(1-'AMD'!F$40)*'Yard'!O$88</f>
        <v>0</v>
      </c>
      <c r="P98" s="6">
        <f>(1-'AMD'!G$40)*'Yard'!P$88</f>
        <v>0</v>
      </c>
      <c r="Q98" s="6">
        <f>(1-'AMD'!H$40)*'Yard'!Q$88</f>
        <v>0</v>
      </c>
      <c r="R98" s="6">
        <f>(1-'AMD'!I$40)*'Yard'!R$88</f>
        <v>0</v>
      </c>
      <c r="S98" s="6">
        <f>(1-'AMD'!J$40)*'Yard'!S$88</f>
        <v>0</v>
      </c>
      <c r="T98" s="10"/>
    </row>
    <row r="99" spans="1:20">
      <c r="A99" s="11" t="s">
        <v>175</v>
      </c>
      <c r="B99" s="6">
        <f>(1-'AMD'!B$43)*'Yard'!B$89</f>
        <v>0</v>
      </c>
      <c r="C99" s="6">
        <f>(1-'AMD'!C$43)*'Yard'!C$89</f>
        <v>0</v>
      </c>
      <c r="D99" s="6">
        <f>(1-'AMD'!D$43)*'Yard'!D$89</f>
        <v>0</v>
      </c>
      <c r="E99" s="6">
        <f>(1-'AMD'!E$43)*'Yard'!E$89</f>
        <v>0</v>
      </c>
      <c r="F99" s="6">
        <f>(1-'AMD'!F$43)*'Yard'!F$89</f>
        <v>0</v>
      </c>
      <c r="G99" s="6">
        <f>(1-'AMD'!G$43)*'Yard'!G$89</f>
        <v>0</v>
      </c>
      <c r="H99" s="6">
        <f>(1-'AMD'!H$43)*'Yard'!H$89</f>
        <v>0</v>
      </c>
      <c r="I99" s="6">
        <f>(1-'AMD'!I$43)*'Yard'!I$89</f>
        <v>0</v>
      </c>
      <c r="J99" s="6">
        <f>(1-'AMD'!J$43)*'Yard'!J$89</f>
        <v>0</v>
      </c>
      <c r="K99" s="6">
        <f>(1-'AMD'!B$43)*'Yard'!K$89</f>
        <v>0</v>
      </c>
      <c r="L99" s="6">
        <f>(1-'AMD'!C$43)*'Yard'!L$89</f>
        <v>0</v>
      </c>
      <c r="M99" s="6">
        <f>(1-'AMD'!D$43)*'Yard'!M$89</f>
        <v>0</v>
      </c>
      <c r="N99" s="6">
        <f>(1-'AMD'!E$43)*'Yard'!N$89</f>
        <v>0</v>
      </c>
      <c r="O99" s="6">
        <f>(1-'AMD'!F$43)*'Yard'!O$89</f>
        <v>0</v>
      </c>
      <c r="P99" s="6">
        <f>(1-'AMD'!G$43)*'Yard'!P$89</f>
        <v>0</v>
      </c>
      <c r="Q99" s="6">
        <f>(1-'AMD'!H$43)*'Yard'!Q$89</f>
        <v>0</v>
      </c>
      <c r="R99" s="6">
        <f>(1-'AMD'!I$43)*'Yard'!R$89</f>
        <v>0</v>
      </c>
      <c r="S99" s="6">
        <f>(1-'AMD'!J$43)*'Yard'!S$89</f>
        <v>0</v>
      </c>
      <c r="T99" s="10"/>
    </row>
    <row r="100" spans="1:20">
      <c r="A100" s="11" t="s">
        <v>176</v>
      </c>
      <c r="B100" s="6">
        <f>(1-'AMD'!B$45)*'Yard'!B$90</f>
        <v>0</v>
      </c>
      <c r="C100" s="6">
        <f>(1-'AMD'!C$45)*'Yard'!C$90</f>
        <v>0</v>
      </c>
      <c r="D100" s="6">
        <f>(1-'AMD'!D$45)*'Yard'!D$90</f>
        <v>0</v>
      </c>
      <c r="E100" s="6">
        <f>(1-'AMD'!E$45)*'Yard'!E$90</f>
        <v>0</v>
      </c>
      <c r="F100" s="6">
        <f>(1-'AMD'!F$45)*'Yard'!F$90</f>
        <v>0</v>
      </c>
      <c r="G100" s="6">
        <f>(1-'AMD'!G$45)*'Yard'!G$90</f>
        <v>0</v>
      </c>
      <c r="H100" s="6">
        <f>(1-'AMD'!H$45)*'Yard'!H$90</f>
        <v>0</v>
      </c>
      <c r="I100" s="6">
        <f>(1-'AMD'!I$45)*'Yard'!I$90</f>
        <v>0</v>
      </c>
      <c r="J100" s="6">
        <f>(1-'AMD'!J$45)*'Yard'!J$90</f>
        <v>0</v>
      </c>
      <c r="K100" s="6">
        <f>(1-'AMD'!B$45)*'Yard'!K$90</f>
        <v>0</v>
      </c>
      <c r="L100" s="6">
        <f>(1-'AMD'!C$45)*'Yard'!L$90</f>
        <v>0</v>
      </c>
      <c r="M100" s="6">
        <f>(1-'AMD'!D$45)*'Yard'!M$90</f>
        <v>0</v>
      </c>
      <c r="N100" s="6">
        <f>(1-'AMD'!E$45)*'Yard'!N$90</f>
        <v>0</v>
      </c>
      <c r="O100" s="6">
        <f>(1-'AMD'!F$45)*'Yard'!O$90</f>
        <v>0</v>
      </c>
      <c r="P100" s="6">
        <f>(1-'AMD'!G$45)*'Yard'!P$90</f>
        <v>0</v>
      </c>
      <c r="Q100" s="6">
        <f>(1-'AMD'!H$45)*'Yard'!Q$90</f>
        <v>0</v>
      </c>
      <c r="R100" s="6">
        <f>(1-'AMD'!I$45)*'Yard'!R$90</f>
        <v>0</v>
      </c>
      <c r="S100" s="6">
        <f>(1-'AMD'!J$45)*'Yard'!S$90</f>
        <v>0</v>
      </c>
      <c r="T100" s="10"/>
    </row>
    <row r="101" spans="1:20">
      <c r="A101" s="11" t="s">
        <v>177</v>
      </c>
      <c r="B101" s="6">
        <f>(1-'AMD'!B$46)*'Yard'!B$91</f>
        <v>0</v>
      </c>
      <c r="C101" s="6">
        <f>(1-'AMD'!C$46)*'Yard'!C$91</f>
        <v>0</v>
      </c>
      <c r="D101" s="6">
        <f>(1-'AMD'!D$46)*'Yard'!D$91</f>
        <v>0</v>
      </c>
      <c r="E101" s="6">
        <f>(1-'AMD'!E$46)*'Yard'!E$91</f>
        <v>0</v>
      </c>
      <c r="F101" s="6">
        <f>(1-'AMD'!F$46)*'Yard'!F$91</f>
        <v>0</v>
      </c>
      <c r="G101" s="6">
        <f>(1-'AMD'!G$46)*'Yard'!G$91</f>
        <v>0</v>
      </c>
      <c r="H101" s="6">
        <f>(1-'AMD'!H$46)*'Yard'!H$91</f>
        <v>0</v>
      </c>
      <c r="I101" s="6">
        <f>(1-'AMD'!I$46)*'Yard'!I$91</f>
        <v>0</v>
      </c>
      <c r="J101" s="6">
        <f>(1-'AMD'!J$46)*'Yard'!J$91</f>
        <v>0</v>
      </c>
      <c r="K101" s="6">
        <f>(1-'AMD'!B$46)*'Yard'!K$91</f>
        <v>0</v>
      </c>
      <c r="L101" s="6">
        <f>(1-'AMD'!C$46)*'Yard'!L$91</f>
        <v>0</v>
      </c>
      <c r="M101" s="6">
        <f>(1-'AMD'!D$46)*'Yard'!M$91</f>
        <v>0</v>
      </c>
      <c r="N101" s="6">
        <f>(1-'AMD'!E$46)*'Yard'!N$91</f>
        <v>0</v>
      </c>
      <c r="O101" s="6">
        <f>(1-'AMD'!F$46)*'Yard'!O$91</f>
        <v>0</v>
      </c>
      <c r="P101" s="6">
        <f>(1-'AMD'!G$46)*'Yard'!P$91</f>
        <v>0</v>
      </c>
      <c r="Q101" s="6">
        <f>(1-'AMD'!H$46)*'Yard'!Q$91</f>
        <v>0</v>
      </c>
      <c r="R101" s="6">
        <f>(1-'AMD'!I$46)*'Yard'!R$91</f>
        <v>0</v>
      </c>
      <c r="S101" s="6">
        <f>(1-'AMD'!J$46)*'Yard'!S$91</f>
        <v>0</v>
      </c>
      <c r="T101" s="10"/>
    </row>
    <row r="102" spans="1:20">
      <c r="A102" s="11" t="s">
        <v>191</v>
      </c>
      <c r="B102" s="6">
        <f>(1-'AMD'!B$47)*'Yard'!B$92</f>
        <v>0</v>
      </c>
      <c r="C102" s="6">
        <f>(1-'AMD'!C$47)*'Yard'!C$92</f>
        <v>0</v>
      </c>
      <c r="D102" s="6">
        <f>(1-'AMD'!D$47)*'Yard'!D$92</f>
        <v>0</v>
      </c>
      <c r="E102" s="6">
        <f>(1-'AMD'!E$47)*'Yard'!E$92</f>
        <v>0</v>
      </c>
      <c r="F102" s="6">
        <f>(1-'AMD'!F$47)*'Yard'!F$92</f>
        <v>0</v>
      </c>
      <c r="G102" s="6">
        <f>(1-'AMD'!G$47)*'Yard'!G$92</f>
        <v>0</v>
      </c>
      <c r="H102" s="6">
        <f>(1-'AMD'!H$47)*'Yard'!H$92</f>
        <v>0</v>
      </c>
      <c r="I102" s="6">
        <f>(1-'AMD'!I$47)*'Yard'!I$92</f>
        <v>0</v>
      </c>
      <c r="J102" s="6">
        <f>(1-'AMD'!J$47)*'Yard'!J$92</f>
        <v>0</v>
      </c>
      <c r="K102" s="6">
        <f>(1-'AMD'!B$47)*'Yard'!K$92</f>
        <v>0</v>
      </c>
      <c r="L102" s="6">
        <f>(1-'AMD'!C$47)*'Yard'!L$92</f>
        <v>0</v>
      </c>
      <c r="M102" s="6">
        <f>(1-'AMD'!D$47)*'Yard'!M$92</f>
        <v>0</v>
      </c>
      <c r="N102" s="6">
        <f>(1-'AMD'!E$47)*'Yard'!N$92</f>
        <v>0</v>
      </c>
      <c r="O102" s="6">
        <f>(1-'AMD'!F$47)*'Yard'!O$92</f>
        <v>0</v>
      </c>
      <c r="P102" s="6">
        <f>(1-'AMD'!G$47)*'Yard'!P$92</f>
        <v>0</v>
      </c>
      <c r="Q102" s="6">
        <f>(1-'AMD'!H$47)*'Yard'!Q$92</f>
        <v>0</v>
      </c>
      <c r="R102" s="6">
        <f>(1-'AMD'!I$47)*'Yard'!R$92</f>
        <v>0</v>
      </c>
      <c r="S102" s="6">
        <f>(1-'AMD'!J$47)*'Yard'!S$92</f>
        <v>0</v>
      </c>
      <c r="T102" s="10"/>
    </row>
    <row r="103" spans="1:20">
      <c r="A103" s="11" t="s">
        <v>178</v>
      </c>
      <c r="B103" s="6">
        <f>(1-'AMD'!B$48)*'Yard'!B$93</f>
        <v>0</v>
      </c>
      <c r="C103" s="6">
        <f>(1-'AMD'!C$48)*'Yard'!C$93</f>
        <v>0</v>
      </c>
      <c r="D103" s="6">
        <f>(1-'AMD'!D$48)*'Yard'!D$93</f>
        <v>0</v>
      </c>
      <c r="E103" s="6">
        <f>(1-'AMD'!E$48)*'Yard'!E$93</f>
        <v>0</v>
      </c>
      <c r="F103" s="6">
        <f>(1-'AMD'!F$48)*'Yard'!F$93</f>
        <v>0</v>
      </c>
      <c r="G103" s="6">
        <f>(1-'AMD'!G$48)*'Yard'!G$93</f>
        <v>0</v>
      </c>
      <c r="H103" s="6">
        <f>(1-'AMD'!H$48)*'Yard'!H$93</f>
        <v>0</v>
      </c>
      <c r="I103" s="6">
        <f>(1-'AMD'!I$48)*'Yard'!I$93</f>
        <v>0</v>
      </c>
      <c r="J103" s="6">
        <f>(1-'AMD'!J$48)*'Yard'!J$93</f>
        <v>0</v>
      </c>
      <c r="K103" s="6">
        <f>(1-'AMD'!B$48)*'Yard'!K$93</f>
        <v>0</v>
      </c>
      <c r="L103" s="6">
        <f>(1-'AMD'!C$48)*'Yard'!L$93</f>
        <v>0</v>
      </c>
      <c r="M103" s="6">
        <f>(1-'AMD'!D$48)*'Yard'!M$93</f>
        <v>0</v>
      </c>
      <c r="N103" s="6">
        <f>(1-'AMD'!E$48)*'Yard'!N$93</f>
        <v>0</v>
      </c>
      <c r="O103" s="6">
        <f>(1-'AMD'!F$48)*'Yard'!O$93</f>
        <v>0</v>
      </c>
      <c r="P103" s="6">
        <f>(1-'AMD'!G$48)*'Yard'!P$93</f>
        <v>0</v>
      </c>
      <c r="Q103" s="6">
        <f>(1-'AMD'!H$48)*'Yard'!Q$93</f>
        <v>0</v>
      </c>
      <c r="R103" s="6">
        <f>(1-'AMD'!I$48)*'Yard'!R$93</f>
        <v>0</v>
      </c>
      <c r="S103" s="6">
        <f>(1-'AMD'!J$48)*'Yard'!S$93</f>
        <v>0</v>
      </c>
      <c r="T103" s="10"/>
    </row>
    <row r="104" spans="1:20">
      <c r="A104" s="11" t="s">
        <v>179</v>
      </c>
      <c r="B104" s="6">
        <f>(1-'AMD'!B$49)*'Yard'!B$94</f>
        <v>0</v>
      </c>
      <c r="C104" s="6">
        <f>(1-'AMD'!C$49)*'Yard'!C$94</f>
        <v>0</v>
      </c>
      <c r="D104" s="6">
        <f>(1-'AMD'!D$49)*'Yard'!D$94</f>
        <v>0</v>
      </c>
      <c r="E104" s="6">
        <f>(1-'AMD'!E$49)*'Yard'!E$94</f>
        <v>0</v>
      </c>
      <c r="F104" s="6">
        <f>(1-'AMD'!F$49)*'Yard'!F$94</f>
        <v>0</v>
      </c>
      <c r="G104" s="6">
        <f>(1-'AMD'!G$49)*'Yard'!G$94</f>
        <v>0</v>
      </c>
      <c r="H104" s="6">
        <f>(1-'AMD'!H$49)*'Yard'!H$94</f>
        <v>0</v>
      </c>
      <c r="I104" s="6">
        <f>(1-'AMD'!I$49)*'Yard'!I$94</f>
        <v>0</v>
      </c>
      <c r="J104" s="6">
        <f>(1-'AMD'!J$49)*'Yard'!J$94</f>
        <v>0</v>
      </c>
      <c r="K104" s="6">
        <f>(1-'AMD'!B$49)*'Yard'!K$94</f>
        <v>0</v>
      </c>
      <c r="L104" s="6">
        <f>(1-'AMD'!C$49)*'Yard'!L$94</f>
        <v>0</v>
      </c>
      <c r="M104" s="6">
        <f>(1-'AMD'!D$49)*'Yard'!M$94</f>
        <v>0</v>
      </c>
      <c r="N104" s="6">
        <f>(1-'AMD'!E$49)*'Yard'!N$94</f>
        <v>0</v>
      </c>
      <c r="O104" s="6">
        <f>(1-'AMD'!F$49)*'Yard'!O$94</f>
        <v>0</v>
      </c>
      <c r="P104" s="6">
        <f>(1-'AMD'!G$49)*'Yard'!P$94</f>
        <v>0</v>
      </c>
      <c r="Q104" s="6">
        <f>(1-'AMD'!H$49)*'Yard'!Q$94</f>
        <v>0</v>
      </c>
      <c r="R104" s="6">
        <f>(1-'AMD'!I$49)*'Yard'!R$94</f>
        <v>0</v>
      </c>
      <c r="S104" s="6">
        <f>(1-'AMD'!J$49)*'Yard'!S$94</f>
        <v>0</v>
      </c>
      <c r="T104" s="10"/>
    </row>
    <row r="105" spans="1:20">
      <c r="A105" s="11" t="s">
        <v>192</v>
      </c>
      <c r="B105" s="6">
        <f>(1-'AMD'!B$50)*'Yard'!B$95</f>
        <v>0</v>
      </c>
      <c r="C105" s="6">
        <f>(1-'AMD'!C$50)*'Yard'!C$95</f>
        <v>0</v>
      </c>
      <c r="D105" s="6">
        <f>(1-'AMD'!D$50)*'Yard'!D$95</f>
        <v>0</v>
      </c>
      <c r="E105" s="6">
        <f>(1-'AMD'!E$50)*'Yard'!E$95</f>
        <v>0</v>
      </c>
      <c r="F105" s="6">
        <f>(1-'AMD'!F$50)*'Yard'!F$95</f>
        <v>0</v>
      </c>
      <c r="G105" s="6">
        <f>(1-'AMD'!G$50)*'Yard'!G$95</f>
        <v>0</v>
      </c>
      <c r="H105" s="6">
        <f>(1-'AMD'!H$50)*'Yard'!H$95</f>
        <v>0</v>
      </c>
      <c r="I105" s="6">
        <f>(1-'AMD'!I$50)*'Yard'!I$95</f>
        <v>0</v>
      </c>
      <c r="J105" s="6">
        <f>(1-'AMD'!J$50)*'Yard'!J$95</f>
        <v>0</v>
      </c>
      <c r="K105" s="6">
        <f>(1-'AMD'!B$50)*'Yard'!K$95</f>
        <v>0</v>
      </c>
      <c r="L105" s="6">
        <f>(1-'AMD'!C$50)*'Yard'!L$95</f>
        <v>0</v>
      </c>
      <c r="M105" s="6">
        <f>(1-'AMD'!D$50)*'Yard'!M$95</f>
        <v>0</v>
      </c>
      <c r="N105" s="6">
        <f>(1-'AMD'!E$50)*'Yard'!N$95</f>
        <v>0</v>
      </c>
      <c r="O105" s="6">
        <f>(1-'AMD'!F$50)*'Yard'!O$95</f>
        <v>0</v>
      </c>
      <c r="P105" s="6">
        <f>(1-'AMD'!G$50)*'Yard'!P$95</f>
        <v>0</v>
      </c>
      <c r="Q105" s="6">
        <f>(1-'AMD'!H$50)*'Yard'!Q$95</f>
        <v>0</v>
      </c>
      <c r="R105" s="6">
        <f>(1-'AMD'!I$50)*'Yard'!R$95</f>
        <v>0</v>
      </c>
      <c r="S105" s="6">
        <f>(1-'AMD'!J$50)*'Yard'!S$95</f>
        <v>0</v>
      </c>
      <c r="T105" s="10"/>
    </row>
    <row r="106" spans="1:20">
      <c r="A106" s="11" t="s">
        <v>216</v>
      </c>
      <c r="B106" s="6">
        <f>(1-'AMD'!B$55)*'Yard'!B$99</f>
        <v>0</v>
      </c>
      <c r="C106" s="6">
        <f>(1-'AMD'!C$55)*'Yard'!C$99</f>
        <v>0</v>
      </c>
      <c r="D106" s="6">
        <f>(1-'AMD'!D$55)*'Yard'!D$99</f>
        <v>0</v>
      </c>
      <c r="E106" s="6">
        <f>(1-'AMD'!E$55)*'Yard'!E$99</f>
        <v>0</v>
      </c>
      <c r="F106" s="6">
        <f>(1-'AMD'!F$55)*'Yard'!F$99</f>
        <v>0</v>
      </c>
      <c r="G106" s="6">
        <f>(1-'AMD'!G$55)*'Yard'!G$99</f>
        <v>0</v>
      </c>
      <c r="H106" s="6">
        <f>(1-'AMD'!H$55)*'Yard'!H$99</f>
        <v>0</v>
      </c>
      <c r="I106" s="6">
        <f>(1-'AMD'!I$55)*'Yard'!I$99</f>
        <v>0</v>
      </c>
      <c r="J106" s="6">
        <f>(1-'AMD'!J$55)*'Yard'!J$99</f>
        <v>0</v>
      </c>
      <c r="K106" s="6">
        <f>(1-'AMD'!B$55)*'Yard'!K$99</f>
        <v>0</v>
      </c>
      <c r="L106" s="6">
        <f>(1-'AMD'!C$55)*'Yard'!L$99</f>
        <v>0</v>
      </c>
      <c r="M106" s="6">
        <f>(1-'AMD'!D$55)*'Yard'!M$99</f>
        <v>0</v>
      </c>
      <c r="N106" s="6">
        <f>(1-'AMD'!E$55)*'Yard'!N$99</f>
        <v>0</v>
      </c>
      <c r="O106" s="6">
        <f>(1-'AMD'!F$55)*'Yard'!O$99</f>
        <v>0</v>
      </c>
      <c r="P106" s="6">
        <f>(1-'AMD'!G$55)*'Yard'!P$99</f>
        <v>0</v>
      </c>
      <c r="Q106" s="6">
        <f>(1-'AMD'!H$55)*'Yard'!Q$99</f>
        <v>0</v>
      </c>
      <c r="R106" s="6">
        <f>(1-'AMD'!I$55)*'Yard'!R$99</f>
        <v>0</v>
      </c>
      <c r="S106" s="6">
        <f>(1-'AMD'!J$55)*'Yard'!S$99</f>
        <v>0</v>
      </c>
      <c r="T106" s="10"/>
    </row>
    <row r="108" spans="1:20">
      <c r="A108" s="1" t="s">
        <v>937</v>
      </c>
    </row>
    <row r="109" spans="1:20">
      <c r="A109" s="2" t="s">
        <v>349</v>
      </c>
    </row>
    <row r="110" spans="1:20">
      <c r="A110" s="12" t="s">
        <v>924</v>
      </c>
    </row>
    <row r="111" spans="1:20">
      <c r="A111" s="12" t="s">
        <v>938</v>
      </c>
    </row>
    <row r="112" spans="1:20">
      <c r="A112" s="2" t="s">
        <v>932</v>
      </c>
    </row>
    <row r="114" spans="1:20">
      <c r="B114" s="3" t="s">
        <v>140</v>
      </c>
      <c r="C114" s="3" t="s">
        <v>304</v>
      </c>
      <c r="D114" s="3" t="s">
        <v>305</v>
      </c>
      <c r="E114" s="3" t="s">
        <v>306</v>
      </c>
      <c r="F114" s="3" t="s">
        <v>307</v>
      </c>
      <c r="G114" s="3" t="s">
        <v>308</v>
      </c>
      <c r="H114" s="3" t="s">
        <v>309</v>
      </c>
      <c r="I114" s="3" t="s">
        <v>310</v>
      </c>
      <c r="J114" s="3" t="s">
        <v>311</v>
      </c>
      <c r="K114" s="3" t="s">
        <v>292</v>
      </c>
      <c r="L114" s="3" t="s">
        <v>810</v>
      </c>
      <c r="M114" s="3" t="s">
        <v>811</v>
      </c>
      <c r="N114" s="3" t="s">
        <v>812</v>
      </c>
      <c r="O114" s="3" t="s">
        <v>813</v>
      </c>
      <c r="P114" s="3" t="s">
        <v>814</v>
      </c>
      <c r="Q114" s="3" t="s">
        <v>815</v>
      </c>
      <c r="R114" s="3" t="s">
        <v>816</v>
      </c>
      <c r="S114" s="3" t="s">
        <v>817</v>
      </c>
    </row>
    <row r="115" spans="1:20">
      <c r="A115" s="11" t="s">
        <v>178</v>
      </c>
      <c r="B115" s="6">
        <f>(1-'AMD'!B$48)*'Yard'!B$111</f>
        <v>0</v>
      </c>
      <c r="C115" s="6">
        <f>(1-'AMD'!C$48)*'Yard'!C$111</f>
        <v>0</v>
      </c>
      <c r="D115" s="6">
        <f>(1-'AMD'!D$48)*'Yard'!D$111</f>
        <v>0</v>
      </c>
      <c r="E115" s="6">
        <f>(1-'AMD'!E$48)*'Yard'!E$111</f>
        <v>0</v>
      </c>
      <c r="F115" s="6">
        <f>(1-'AMD'!F$48)*'Yard'!F$111</f>
        <v>0</v>
      </c>
      <c r="G115" s="6">
        <f>(1-'AMD'!G$48)*'Yard'!G$111</f>
        <v>0</v>
      </c>
      <c r="H115" s="6">
        <f>(1-'AMD'!H$48)*'Yard'!H$111</f>
        <v>0</v>
      </c>
      <c r="I115" s="6">
        <f>(1-'AMD'!I$48)*'Yard'!I$111</f>
        <v>0</v>
      </c>
      <c r="J115" s="6">
        <f>(1-'AMD'!J$48)*'Yard'!J$111</f>
        <v>0</v>
      </c>
      <c r="K115" s="6">
        <f>(1-'AMD'!B$48)*'Yard'!K$111</f>
        <v>0</v>
      </c>
      <c r="L115" s="6">
        <f>(1-'AMD'!C$48)*'Yard'!L$111</f>
        <v>0</v>
      </c>
      <c r="M115" s="6">
        <f>(1-'AMD'!D$48)*'Yard'!M$111</f>
        <v>0</v>
      </c>
      <c r="N115" s="6">
        <f>(1-'AMD'!E$48)*'Yard'!N$111</f>
        <v>0</v>
      </c>
      <c r="O115" s="6">
        <f>(1-'AMD'!F$48)*'Yard'!O$111</f>
        <v>0</v>
      </c>
      <c r="P115" s="6">
        <f>(1-'AMD'!G$48)*'Yard'!P$111</f>
        <v>0</v>
      </c>
      <c r="Q115" s="6">
        <f>(1-'AMD'!H$48)*'Yard'!Q$111</f>
        <v>0</v>
      </c>
      <c r="R115" s="6">
        <f>(1-'AMD'!I$48)*'Yard'!R$111</f>
        <v>0</v>
      </c>
      <c r="S115" s="6">
        <f>(1-'AMD'!J$48)*'Yard'!S$111</f>
        <v>0</v>
      </c>
      <c r="T115" s="10"/>
    </row>
    <row r="116" spans="1:20">
      <c r="A116" s="11" t="s">
        <v>179</v>
      </c>
      <c r="B116" s="6">
        <f>(1-'AMD'!B$49)*'Yard'!B$112</f>
        <v>0</v>
      </c>
      <c r="C116" s="6">
        <f>(1-'AMD'!C$49)*'Yard'!C$112</f>
        <v>0</v>
      </c>
      <c r="D116" s="6">
        <f>(1-'AMD'!D$49)*'Yard'!D$112</f>
        <v>0</v>
      </c>
      <c r="E116" s="6">
        <f>(1-'AMD'!E$49)*'Yard'!E$112</f>
        <v>0</v>
      </c>
      <c r="F116" s="6">
        <f>(1-'AMD'!F$49)*'Yard'!F$112</f>
        <v>0</v>
      </c>
      <c r="G116" s="6">
        <f>(1-'AMD'!G$49)*'Yard'!G$112</f>
        <v>0</v>
      </c>
      <c r="H116" s="6">
        <f>(1-'AMD'!H$49)*'Yard'!H$112</f>
        <v>0</v>
      </c>
      <c r="I116" s="6">
        <f>(1-'AMD'!I$49)*'Yard'!I$112</f>
        <v>0</v>
      </c>
      <c r="J116" s="6">
        <f>(1-'AMD'!J$49)*'Yard'!J$112</f>
        <v>0</v>
      </c>
      <c r="K116" s="6">
        <f>(1-'AMD'!B$49)*'Yard'!K$112</f>
        <v>0</v>
      </c>
      <c r="L116" s="6">
        <f>(1-'AMD'!C$49)*'Yard'!L$112</f>
        <v>0</v>
      </c>
      <c r="M116" s="6">
        <f>(1-'AMD'!D$49)*'Yard'!M$112</f>
        <v>0</v>
      </c>
      <c r="N116" s="6">
        <f>(1-'AMD'!E$49)*'Yard'!N$112</f>
        <v>0</v>
      </c>
      <c r="O116" s="6">
        <f>(1-'AMD'!F$49)*'Yard'!O$112</f>
        <v>0</v>
      </c>
      <c r="P116" s="6">
        <f>(1-'AMD'!G$49)*'Yard'!P$112</f>
        <v>0</v>
      </c>
      <c r="Q116" s="6">
        <f>(1-'AMD'!H$49)*'Yard'!Q$112</f>
        <v>0</v>
      </c>
      <c r="R116" s="6">
        <f>(1-'AMD'!I$49)*'Yard'!R$112</f>
        <v>0</v>
      </c>
      <c r="S116" s="6">
        <f>(1-'AMD'!J$49)*'Yard'!S$112</f>
        <v>0</v>
      </c>
      <c r="T116" s="10"/>
    </row>
    <row r="117" spans="1:20">
      <c r="A117" s="11" t="s">
        <v>192</v>
      </c>
      <c r="B117" s="6">
        <f>(1-'AMD'!B$50)*'Yard'!B$113</f>
        <v>0</v>
      </c>
      <c r="C117" s="6">
        <f>(1-'AMD'!C$50)*'Yard'!C$113</f>
        <v>0</v>
      </c>
      <c r="D117" s="6">
        <f>(1-'AMD'!D$50)*'Yard'!D$113</f>
        <v>0</v>
      </c>
      <c r="E117" s="6">
        <f>(1-'AMD'!E$50)*'Yard'!E$113</f>
        <v>0</v>
      </c>
      <c r="F117" s="6">
        <f>(1-'AMD'!F$50)*'Yard'!F$113</f>
        <v>0</v>
      </c>
      <c r="G117" s="6">
        <f>(1-'AMD'!G$50)*'Yard'!G$113</f>
        <v>0</v>
      </c>
      <c r="H117" s="6">
        <f>(1-'AMD'!H$50)*'Yard'!H$113</f>
        <v>0</v>
      </c>
      <c r="I117" s="6">
        <f>(1-'AMD'!I$50)*'Yard'!I$113</f>
        <v>0</v>
      </c>
      <c r="J117" s="6">
        <f>(1-'AMD'!J$50)*'Yard'!J$113</f>
        <v>0</v>
      </c>
      <c r="K117" s="6">
        <f>(1-'AMD'!B$50)*'Yard'!K$113</f>
        <v>0</v>
      </c>
      <c r="L117" s="6">
        <f>(1-'AMD'!C$50)*'Yard'!L$113</f>
        <v>0</v>
      </c>
      <c r="M117" s="6">
        <f>(1-'AMD'!D$50)*'Yard'!M$113</f>
        <v>0</v>
      </c>
      <c r="N117" s="6">
        <f>(1-'AMD'!E$50)*'Yard'!N$113</f>
        <v>0</v>
      </c>
      <c r="O117" s="6">
        <f>(1-'AMD'!F$50)*'Yard'!O$113</f>
        <v>0</v>
      </c>
      <c r="P117" s="6">
        <f>(1-'AMD'!G$50)*'Yard'!P$113</f>
        <v>0</v>
      </c>
      <c r="Q117" s="6">
        <f>(1-'AMD'!H$50)*'Yard'!Q$113</f>
        <v>0</v>
      </c>
      <c r="R117" s="6">
        <f>(1-'AMD'!I$50)*'Yard'!R$113</f>
        <v>0</v>
      </c>
      <c r="S117" s="6">
        <f>(1-'AMD'!J$50)*'Yard'!S$113</f>
        <v>0</v>
      </c>
      <c r="T117" s="10"/>
    </row>
    <row r="118" spans="1:20">
      <c r="A118" s="11" t="s">
        <v>216</v>
      </c>
      <c r="B118" s="6">
        <f>(1-'AMD'!B$55)*'Yard'!B$117</f>
        <v>0</v>
      </c>
      <c r="C118" s="6">
        <f>(1-'AMD'!C$55)*'Yard'!C$117</f>
        <v>0</v>
      </c>
      <c r="D118" s="6">
        <f>(1-'AMD'!D$55)*'Yard'!D$117</f>
        <v>0</v>
      </c>
      <c r="E118" s="6">
        <f>(1-'AMD'!E$55)*'Yard'!E$117</f>
        <v>0</v>
      </c>
      <c r="F118" s="6">
        <f>(1-'AMD'!F$55)*'Yard'!F$117</f>
        <v>0</v>
      </c>
      <c r="G118" s="6">
        <f>(1-'AMD'!G$55)*'Yard'!G$117</f>
        <v>0</v>
      </c>
      <c r="H118" s="6">
        <f>(1-'AMD'!H$55)*'Yard'!H$117</f>
        <v>0</v>
      </c>
      <c r="I118" s="6">
        <f>(1-'AMD'!I$55)*'Yard'!I$117</f>
        <v>0</v>
      </c>
      <c r="J118" s="6">
        <f>(1-'AMD'!J$55)*'Yard'!J$117</f>
        <v>0</v>
      </c>
      <c r="K118" s="6">
        <f>(1-'AMD'!B$55)*'Yard'!K$117</f>
        <v>0</v>
      </c>
      <c r="L118" s="6">
        <f>(1-'AMD'!C$55)*'Yard'!L$117</f>
        <v>0</v>
      </c>
      <c r="M118" s="6">
        <f>(1-'AMD'!D$55)*'Yard'!M$117</f>
        <v>0</v>
      </c>
      <c r="N118" s="6">
        <f>(1-'AMD'!E$55)*'Yard'!N$117</f>
        <v>0</v>
      </c>
      <c r="O118" s="6">
        <f>(1-'AMD'!F$55)*'Yard'!O$117</f>
        <v>0</v>
      </c>
      <c r="P118" s="6">
        <f>(1-'AMD'!G$55)*'Yard'!P$117</f>
        <v>0</v>
      </c>
      <c r="Q118" s="6">
        <f>(1-'AMD'!H$55)*'Yard'!Q$117</f>
        <v>0</v>
      </c>
      <c r="R118" s="6">
        <f>(1-'AMD'!I$55)*'Yard'!R$117</f>
        <v>0</v>
      </c>
      <c r="S118" s="6">
        <f>(1-'AMD'!J$55)*'Yard'!S$117</f>
        <v>0</v>
      </c>
      <c r="T118" s="10"/>
    </row>
  </sheetData>
  <sheetProtection sheet="1" objects="1" scenarios="1"/>
  <hyperlinks>
    <hyperlink ref="A6" location="'Yard'!B10" display="x1 = 2901. Unit cost at each level, £/kW/year (relative to system simultaneous maximum load)"/>
    <hyperlink ref="A7" location="'AMD'!B206" display="x2 = 2612. Diversity allowances (including calculated LV value)"/>
    <hyperlink ref="A16" location="'AMD'!B38" display="x1 = 2602. Standing charges factors adapted to use 132kV/HV"/>
    <hyperlink ref="A17" location="'LAFs'!B228" display="x2 = 2012. Loss adjustment factors between end user meter reading and each network level, scaled by network use"/>
    <hyperlink ref="A18" location="'Standing'!B10" display="x3 = 3001. Costs based on aggregate maximum load (£/kW/year)"/>
    <hyperlink ref="A19" location="'Input'!E57" display="x4 = 1010. Power factor for all flows in the network model (in Financial and general assumptions)"/>
    <hyperlink ref="A20" location="'Input'!F57" display="x5 = 1010. Days in the charging year (in Financial and general assumptions)"/>
    <hyperlink ref="A21" location="'Contrib'!B89" display="x6 = 2804. Proportion of annual charge covered by contributions (for all charging levels)"/>
    <hyperlink ref="A45" location="'AMD'!B38" display="x1 = 2602. Standing charges factors adapted to use 132kV/HV"/>
    <hyperlink ref="A46" location="'Yard'!B22" display="x2 = 2902. Pay-as-you-go yardstick unit costs by charging level (p/kWh)"/>
    <hyperlink ref="A70" location="'AMD'!B38" display="x1 = 2602. Standing charges factors adapted to use 132kV/HV"/>
    <hyperlink ref="A71" location="'Yard'!B58" display="x2 = 2903. Contributions to pay-as-you-go unit rate 1 (p/kWh)"/>
    <hyperlink ref="A93" location="'AMD'!B38" display="x1 = 2602. Standing charges factors adapted to use 132kV/HV"/>
    <hyperlink ref="A94" location="'Yard'!B87" display="x2 = 2904. Contributions to pay-as-you-go unit rate 2 (p/kWh)"/>
    <hyperlink ref="A110" location="'AMD'!B38" display="x1 = 2602. Standing charges factors adapted to use 132kV/HV"/>
    <hyperlink ref="A111" location="'Yard'!B110" display="x2 = 2905. Contributions to pay-as-you-go unit rate 3 (p/kWh)"/>
  </hyperlinks>
  <pageMargins left="0.7" right="0.7" top="0.75" bottom="0.75" header="0.3" footer="0.3"/>
  <pageSetup fitToHeight="0" orientation="landscape"/>
  <headerFooter>
    <oddHeader>&amp;L&amp;A&amp;Cr6432&amp;R&amp;P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3">
      <c r="A1" s="1">
        <f>"Standing charges as fixed charges"&amp;" for "&amp;'Input'!B7&amp;" in "&amp;'Input'!C7&amp;" ("&amp;'Input'!D7&amp;")"</f>
        <v>0</v>
      </c>
    </row>
    <row r="2" spans="1:3">
      <c r="A2" s="2" t="s">
        <v>939</v>
      </c>
    </row>
    <row r="4" spans="1:3">
      <c r="A4" s="1" t="s">
        <v>940</v>
      </c>
    </row>
    <row r="5" spans="1:3">
      <c r="A5" s="2" t="s">
        <v>349</v>
      </c>
    </row>
    <row r="6" spans="1:3">
      <c r="A6" s="12" t="s">
        <v>941</v>
      </c>
    </row>
    <row r="7" spans="1:3">
      <c r="A7" s="12" t="s">
        <v>942</v>
      </c>
    </row>
    <row r="8" spans="1:3">
      <c r="A8" s="12" t="s">
        <v>943</v>
      </c>
    </row>
    <row r="9" spans="1:3">
      <c r="A9" s="12" t="s">
        <v>944</v>
      </c>
    </row>
    <row r="10" spans="1:3">
      <c r="A10" s="12" t="s">
        <v>663</v>
      </c>
    </row>
    <row r="11" spans="1:3">
      <c r="A11" s="2" t="s">
        <v>945</v>
      </c>
    </row>
    <row r="13" spans="1:3">
      <c r="B13" s="3" t="s">
        <v>946</v>
      </c>
    </row>
    <row r="14" spans="1:3">
      <c r="A14" s="11" t="s">
        <v>172</v>
      </c>
      <c r="B14" s="6">
        <f>IF('Loads'!E$282&gt;0,'Multi'!B$109/'Loads'!E$282/'Input'!E$58/'Input'!C$158/(24*'Input'!F$58)*1000,0)</f>
        <v>0</v>
      </c>
      <c r="C14" s="10"/>
    </row>
    <row r="15" spans="1:3">
      <c r="A15" s="11" t="s">
        <v>173</v>
      </c>
      <c r="B15" s="6">
        <f>IF('Loads'!E$283&gt;0,'Multi'!B$110/'Loads'!E$283/'Input'!E$58/'Input'!C$159/(24*'Input'!F$58)*1000,0)</f>
        <v>0</v>
      </c>
      <c r="C15" s="10"/>
    </row>
    <row r="16" spans="1:3">
      <c r="A16" s="11" t="s">
        <v>174</v>
      </c>
      <c r="B16" s="6">
        <f>IF('Loads'!E$285&gt;0,'Multi'!B$112/'Loads'!E$285/'Input'!E$58/'Input'!C$161/(24*'Input'!F$58)*1000,0)</f>
        <v>0</v>
      </c>
      <c r="C16" s="10"/>
    </row>
    <row r="17" spans="1:20">
      <c r="A17" s="11" t="s">
        <v>175</v>
      </c>
      <c r="B17" s="6">
        <f>IF('Loads'!E$286&gt;0,'Multi'!B$113/'Loads'!E$286/'Input'!E$58/'Input'!C$162/(24*'Input'!F$58)*1000,0)</f>
        <v>0</v>
      </c>
      <c r="C17" s="10"/>
    </row>
    <row r="18" spans="1:20">
      <c r="A18" s="11" t="s">
        <v>176</v>
      </c>
      <c r="B18" s="6">
        <f>IF('Loads'!E$288&gt;0,'Multi'!B$115/'Loads'!E$288/'Input'!E$58/'Input'!C$164/(24*'Input'!F$58)*1000,0)</f>
        <v>0</v>
      </c>
      <c r="C18" s="10"/>
    </row>
    <row r="19" spans="1:20">
      <c r="A19" s="11" t="s">
        <v>177</v>
      </c>
      <c r="B19" s="6">
        <f>IF('Loads'!E$289&gt;0,'Multi'!B$116/'Loads'!E$289/'Input'!E$58/'Input'!C$165/(24*'Input'!F$58)*1000,0)</f>
        <v>0</v>
      </c>
      <c r="C19" s="10"/>
    </row>
    <row r="20" spans="1:20">
      <c r="A20" s="11" t="s">
        <v>191</v>
      </c>
      <c r="B20" s="6">
        <f>IF('Loads'!E$290&gt;0,'Multi'!B$117/'Loads'!E$290/'Input'!E$58/'Input'!C$166/(24*'Input'!F$58)*1000,0)</f>
        <v>0</v>
      </c>
      <c r="C20" s="10"/>
    </row>
    <row r="22" spans="1:20">
      <c r="A22" s="1" t="s">
        <v>947</v>
      </c>
    </row>
    <row r="23" spans="1:20">
      <c r="A23" s="2" t="s">
        <v>349</v>
      </c>
    </row>
    <row r="24" spans="1:20">
      <c r="A24" s="12" t="s">
        <v>948</v>
      </c>
    </row>
    <row r="25" spans="1:20">
      <c r="A25" s="12" t="s">
        <v>949</v>
      </c>
    </row>
    <row r="26" spans="1:20">
      <c r="A26" s="2" t="s">
        <v>783</v>
      </c>
    </row>
    <row r="28" spans="1:20">
      <c r="B28" s="3" t="s">
        <v>140</v>
      </c>
      <c r="C28" s="3" t="s">
        <v>304</v>
      </c>
      <c r="D28" s="3" t="s">
        <v>305</v>
      </c>
      <c r="E28" s="3" t="s">
        <v>306</v>
      </c>
      <c r="F28" s="3" t="s">
        <v>307</v>
      </c>
      <c r="G28" s="3" t="s">
        <v>308</v>
      </c>
      <c r="H28" s="3" t="s">
        <v>309</v>
      </c>
      <c r="I28" s="3" t="s">
        <v>310</v>
      </c>
      <c r="J28" s="3" t="s">
        <v>311</v>
      </c>
      <c r="K28" s="3" t="s">
        <v>292</v>
      </c>
      <c r="L28" s="3" t="s">
        <v>810</v>
      </c>
      <c r="M28" s="3" t="s">
        <v>811</v>
      </c>
      <c r="N28" s="3" t="s">
        <v>812</v>
      </c>
      <c r="O28" s="3" t="s">
        <v>813</v>
      </c>
      <c r="P28" s="3" t="s">
        <v>814</v>
      </c>
      <c r="Q28" s="3" t="s">
        <v>815</v>
      </c>
      <c r="R28" s="3" t="s">
        <v>816</v>
      </c>
      <c r="S28" s="3" t="s">
        <v>817</v>
      </c>
    </row>
    <row r="29" spans="1:20">
      <c r="A29" s="11" t="s">
        <v>172</v>
      </c>
      <c r="B29" s="6">
        <f>'Standing'!B$25*$B14</f>
        <v>0</v>
      </c>
      <c r="C29" s="6">
        <f>'Standing'!C$25*$B14</f>
        <v>0</v>
      </c>
      <c r="D29" s="6">
        <f>'Standing'!D$25*$B14</f>
        <v>0</v>
      </c>
      <c r="E29" s="6">
        <f>'Standing'!E$25*$B14</f>
        <v>0</v>
      </c>
      <c r="F29" s="6">
        <f>'Standing'!F$25*$B14</f>
        <v>0</v>
      </c>
      <c r="G29" s="6">
        <f>'Standing'!G$25*$B14</f>
        <v>0</v>
      </c>
      <c r="H29" s="6">
        <f>'Standing'!H$25*$B14</f>
        <v>0</v>
      </c>
      <c r="I29" s="6">
        <f>'Standing'!I$25*$B14</f>
        <v>0</v>
      </c>
      <c r="J29" s="6">
        <f>'Standing'!J$25*$B14</f>
        <v>0</v>
      </c>
      <c r="K29" s="6">
        <f>'Standing'!K$25*$B14</f>
        <v>0</v>
      </c>
      <c r="L29" s="6">
        <f>'Standing'!L$25*$B14</f>
        <v>0</v>
      </c>
      <c r="M29" s="6">
        <f>'Standing'!M$25*$B14</f>
        <v>0</v>
      </c>
      <c r="N29" s="6">
        <f>'Standing'!N$25*$B14</f>
        <v>0</v>
      </c>
      <c r="O29" s="6">
        <f>'Standing'!O$25*$B14</f>
        <v>0</v>
      </c>
      <c r="P29" s="6">
        <f>'Standing'!P$25*$B14</f>
        <v>0</v>
      </c>
      <c r="Q29" s="6">
        <f>'Standing'!Q$25*$B14</f>
        <v>0</v>
      </c>
      <c r="R29" s="6">
        <f>'Standing'!R$25*$B14</f>
        <v>0</v>
      </c>
      <c r="S29" s="6">
        <f>'Standing'!S$25*$B14</f>
        <v>0</v>
      </c>
      <c r="T29" s="10"/>
    </row>
    <row r="30" spans="1:20">
      <c r="A30" s="11" t="s">
        <v>173</v>
      </c>
      <c r="B30" s="6">
        <f>'Standing'!B$26*$B15</f>
        <v>0</v>
      </c>
      <c r="C30" s="6">
        <f>'Standing'!C$26*$B15</f>
        <v>0</v>
      </c>
      <c r="D30" s="6">
        <f>'Standing'!D$26*$B15</f>
        <v>0</v>
      </c>
      <c r="E30" s="6">
        <f>'Standing'!E$26*$B15</f>
        <v>0</v>
      </c>
      <c r="F30" s="6">
        <f>'Standing'!F$26*$B15</f>
        <v>0</v>
      </c>
      <c r="G30" s="6">
        <f>'Standing'!G$26*$B15</f>
        <v>0</v>
      </c>
      <c r="H30" s="6">
        <f>'Standing'!H$26*$B15</f>
        <v>0</v>
      </c>
      <c r="I30" s="6">
        <f>'Standing'!I$26*$B15</f>
        <v>0</v>
      </c>
      <c r="J30" s="6">
        <f>'Standing'!J$26*$B15</f>
        <v>0</v>
      </c>
      <c r="K30" s="6">
        <f>'Standing'!K$26*$B15</f>
        <v>0</v>
      </c>
      <c r="L30" s="6">
        <f>'Standing'!L$26*$B15</f>
        <v>0</v>
      </c>
      <c r="M30" s="6">
        <f>'Standing'!M$26*$B15</f>
        <v>0</v>
      </c>
      <c r="N30" s="6">
        <f>'Standing'!N$26*$B15</f>
        <v>0</v>
      </c>
      <c r="O30" s="6">
        <f>'Standing'!O$26*$B15</f>
        <v>0</v>
      </c>
      <c r="P30" s="6">
        <f>'Standing'!P$26*$B15</f>
        <v>0</v>
      </c>
      <c r="Q30" s="6">
        <f>'Standing'!Q$26*$B15</f>
        <v>0</v>
      </c>
      <c r="R30" s="6">
        <f>'Standing'!R$26*$B15</f>
        <v>0</v>
      </c>
      <c r="S30" s="6">
        <f>'Standing'!S$26*$B15</f>
        <v>0</v>
      </c>
      <c r="T30" s="10"/>
    </row>
    <row r="31" spans="1:20">
      <c r="A31" s="11" t="s">
        <v>174</v>
      </c>
      <c r="B31" s="6">
        <f>'Standing'!B$28*$B16</f>
        <v>0</v>
      </c>
      <c r="C31" s="6">
        <f>'Standing'!C$28*$B16</f>
        <v>0</v>
      </c>
      <c r="D31" s="6">
        <f>'Standing'!D$28*$B16</f>
        <v>0</v>
      </c>
      <c r="E31" s="6">
        <f>'Standing'!E$28*$B16</f>
        <v>0</v>
      </c>
      <c r="F31" s="6">
        <f>'Standing'!F$28*$B16</f>
        <v>0</v>
      </c>
      <c r="G31" s="6">
        <f>'Standing'!G$28*$B16</f>
        <v>0</v>
      </c>
      <c r="H31" s="6">
        <f>'Standing'!H$28*$B16</f>
        <v>0</v>
      </c>
      <c r="I31" s="6">
        <f>'Standing'!I$28*$B16</f>
        <v>0</v>
      </c>
      <c r="J31" s="6">
        <f>'Standing'!J$28*$B16</f>
        <v>0</v>
      </c>
      <c r="K31" s="6">
        <f>'Standing'!K$28*$B16</f>
        <v>0</v>
      </c>
      <c r="L31" s="6">
        <f>'Standing'!L$28*$B16</f>
        <v>0</v>
      </c>
      <c r="M31" s="6">
        <f>'Standing'!M$28*$B16</f>
        <v>0</v>
      </c>
      <c r="N31" s="6">
        <f>'Standing'!N$28*$B16</f>
        <v>0</v>
      </c>
      <c r="O31" s="6">
        <f>'Standing'!O$28*$B16</f>
        <v>0</v>
      </c>
      <c r="P31" s="6">
        <f>'Standing'!P$28*$B16</f>
        <v>0</v>
      </c>
      <c r="Q31" s="6">
        <f>'Standing'!Q$28*$B16</f>
        <v>0</v>
      </c>
      <c r="R31" s="6">
        <f>'Standing'!R$28*$B16</f>
        <v>0</v>
      </c>
      <c r="S31" s="6">
        <f>'Standing'!S$28*$B16</f>
        <v>0</v>
      </c>
      <c r="T31" s="10"/>
    </row>
    <row r="32" spans="1:20">
      <c r="A32" s="11" t="s">
        <v>175</v>
      </c>
      <c r="B32" s="6">
        <f>'Standing'!B$29*$B17</f>
        <v>0</v>
      </c>
      <c r="C32" s="6">
        <f>'Standing'!C$29*$B17</f>
        <v>0</v>
      </c>
      <c r="D32" s="6">
        <f>'Standing'!D$29*$B17</f>
        <v>0</v>
      </c>
      <c r="E32" s="6">
        <f>'Standing'!E$29*$B17</f>
        <v>0</v>
      </c>
      <c r="F32" s="6">
        <f>'Standing'!F$29*$B17</f>
        <v>0</v>
      </c>
      <c r="G32" s="6">
        <f>'Standing'!G$29*$B17</f>
        <v>0</v>
      </c>
      <c r="H32" s="6">
        <f>'Standing'!H$29*$B17</f>
        <v>0</v>
      </c>
      <c r="I32" s="6">
        <f>'Standing'!I$29*$B17</f>
        <v>0</v>
      </c>
      <c r="J32" s="6">
        <f>'Standing'!J$29*$B17</f>
        <v>0</v>
      </c>
      <c r="K32" s="6">
        <f>'Standing'!K$29*$B17</f>
        <v>0</v>
      </c>
      <c r="L32" s="6">
        <f>'Standing'!L$29*$B17</f>
        <v>0</v>
      </c>
      <c r="M32" s="6">
        <f>'Standing'!M$29*$B17</f>
        <v>0</v>
      </c>
      <c r="N32" s="6">
        <f>'Standing'!N$29*$B17</f>
        <v>0</v>
      </c>
      <c r="O32" s="6">
        <f>'Standing'!O$29*$B17</f>
        <v>0</v>
      </c>
      <c r="P32" s="6">
        <f>'Standing'!P$29*$B17</f>
        <v>0</v>
      </c>
      <c r="Q32" s="6">
        <f>'Standing'!Q$29*$B17</f>
        <v>0</v>
      </c>
      <c r="R32" s="6">
        <f>'Standing'!R$29*$B17</f>
        <v>0</v>
      </c>
      <c r="S32" s="6">
        <f>'Standing'!S$29*$B17</f>
        <v>0</v>
      </c>
      <c r="T32" s="10"/>
    </row>
    <row r="33" spans="1:20">
      <c r="A33" s="11" t="s">
        <v>176</v>
      </c>
      <c r="B33" s="6">
        <f>'Standing'!B$31*$B18</f>
        <v>0</v>
      </c>
      <c r="C33" s="6">
        <f>'Standing'!C$31*$B18</f>
        <v>0</v>
      </c>
      <c r="D33" s="6">
        <f>'Standing'!D$31*$B18</f>
        <v>0</v>
      </c>
      <c r="E33" s="6">
        <f>'Standing'!E$31*$B18</f>
        <v>0</v>
      </c>
      <c r="F33" s="6">
        <f>'Standing'!F$31*$B18</f>
        <v>0</v>
      </c>
      <c r="G33" s="6">
        <f>'Standing'!G$31*$B18</f>
        <v>0</v>
      </c>
      <c r="H33" s="6">
        <f>'Standing'!H$31*$B18</f>
        <v>0</v>
      </c>
      <c r="I33" s="6">
        <f>'Standing'!I$31*$B18</f>
        <v>0</v>
      </c>
      <c r="J33" s="6">
        <f>'Standing'!J$31*$B18</f>
        <v>0</v>
      </c>
      <c r="K33" s="6">
        <f>'Standing'!K$31*$B18</f>
        <v>0</v>
      </c>
      <c r="L33" s="6">
        <f>'Standing'!L$31*$B18</f>
        <v>0</v>
      </c>
      <c r="M33" s="6">
        <f>'Standing'!M$31*$B18</f>
        <v>0</v>
      </c>
      <c r="N33" s="6">
        <f>'Standing'!N$31*$B18</f>
        <v>0</v>
      </c>
      <c r="O33" s="6">
        <f>'Standing'!O$31*$B18</f>
        <v>0</v>
      </c>
      <c r="P33" s="6">
        <f>'Standing'!P$31*$B18</f>
        <v>0</v>
      </c>
      <c r="Q33" s="6">
        <f>'Standing'!Q$31*$B18</f>
        <v>0</v>
      </c>
      <c r="R33" s="6">
        <f>'Standing'!R$31*$B18</f>
        <v>0</v>
      </c>
      <c r="S33" s="6">
        <f>'Standing'!S$31*$B18</f>
        <v>0</v>
      </c>
      <c r="T33" s="10"/>
    </row>
    <row r="34" spans="1:20">
      <c r="A34" s="11" t="s">
        <v>177</v>
      </c>
      <c r="B34" s="6">
        <f>'Standing'!B$32*$B19</f>
        <v>0</v>
      </c>
      <c r="C34" s="6">
        <f>'Standing'!C$32*$B19</f>
        <v>0</v>
      </c>
      <c r="D34" s="6">
        <f>'Standing'!D$32*$B19</f>
        <v>0</v>
      </c>
      <c r="E34" s="6">
        <f>'Standing'!E$32*$B19</f>
        <v>0</v>
      </c>
      <c r="F34" s="6">
        <f>'Standing'!F$32*$B19</f>
        <v>0</v>
      </c>
      <c r="G34" s="6">
        <f>'Standing'!G$32*$B19</f>
        <v>0</v>
      </c>
      <c r="H34" s="6">
        <f>'Standing'!H$32*$B19</f>
        <v>0</v>
      </c>
      <c r="I34" s="6">
        <f>'Standing'!I$32*$B19</f>
        <v>0</v>
      </c>
      <c r="J34" s="6">
        <f>'Standing'!J$32*$B19</f>
        <v>0</v>
      </c>
      <c r="K34" s="6">
        <f>'Standing'!K$32*$B19</f>
        <v>0</v>
      </c>
      <c r="L34" s="6">
        <f>'Standing'!L$32*$B19</f>
        <v>0</v>
      </c>
      <c r="M34" s="6">
        <f>'Standing'!M$32*$B19</f>
        <v>0</v>
      </c>
      <c r="N34" s="6">
        <f>'Standing'!N$32*$B19</f>
        <v>0</v>
      </c>
      <c r="O34" s="6">
        <f>'Standing'!O$32*$B19</f>
        <v>0</v>
      </c>
      <c r="P34" s="6">
        <f>'Standing'!P$32*$B19</f>
        <v>0</v>
      </c>
      <c r="Q34" s="6">
        <f>'Standing'!Q$32*$B19</f>
        <v>0</v>
      </c>
      <c r="R34" s="6">
        <f>'Standing'!R$32*$B19</f>
        <v>0</v>
      </c>
      <c r="S34" s="6">
        <f>'Standing'!S$32*$B19</f>
        <v>0</v>
      </c>
      <c r="T34" s="10"/>
    </row>
    <row r="35" spans="1:20">
      <c r="A35" s="11" t="s">
        <v>191</v>
      </c>
      <c r="B35" s="6">
        <f>'Standing'!B$33*$B20</f>
        <v>0</v>
      </c>
      <c r="C35" s="6">
        <f>'Standing'!C$33*$B20</f>
        <v>0</v>
      </c>
      <c r="D35" s="6">
        <f>'Standing'!D$33*$B20</f>
        <v>0</v>
      </c>
      <c r="E35" s="6">
        <f>'Standing'!E$33*$B20</f>
        <v>0</v>
      </c>
      <c r="F35" s="6">
        <f>'Standing'!F$33*$B20</f>
        <v>0</v>
      </c>
      <c r="G35" s="6">
        <f>'Standing'!G$33*$B20</f>
        <v>0</v>
      </c>
      <c r="H35" s="6">
        <f>'Standing'!H$33*$B20</f>
        <v>0</v>
      </c>
      <c r="I35" s="6">
        <f>'Standing'!I$33*$B20</f>
        <v>0</v>
      </c>
      <c r="J35" s="6">
        <f>'Standing'!J$33*$B20</f>
        <v>0</v>
      </c>
      <c r="K35" s="6">
        <f>'Standing'!K$33*$B20</f>
        <v>0</v>
      </c>
      <c r="L35" s="6">
        <f>'Standing'!L$33*$B20</f>
        <v>0</v>
      </c>
      <c r="M35" s="6">
        <f>'Standing'!M$33*$B20</f>
        <v>0</v>
      </c>
      <c r="N35" s="6">
        <f>'Standing'!N$33*$B20</f>
        <v>0</v>
      </c>
      <c r="O35" s="6">
        <f>'Standing'!O$33*$B20</f>
        <v>0</v>
      </c>
      <c r="P35" s="6">
        <f>'Standing'!P$33*$B20</f>
        <v>0</v>
      </c>
      <c r="Q35" s="6">
        <f>'Standing'!Q$33*$B20</f>
        <v>0</v>
      </c>
      <c r="R35" s="6">
        <f>'Standing'!R$33*$B20</f>
        <v>0</v>
      </c>
      <c r="S35" s="6">
        <f>'Standing'!S$33*$B20</f>
        <v>0</v>
      </c>
      <c r="T35" s="10"/>
    </row>
    <row r="37" spans="1:20">
      <c r="A37" s="1" t="s">
        <v>950</v>
      </c>
    </row>
    <row r="38" spans="1:20">
      <c r="A38" s="2" t="s">
        <v>349</v>
      </c>
    </row>
    <row r="39" spans="1:20">
      <c r="A39" s="12" t="s">
        <v>951</v>
      </c>
    </row>
    <row r="40" spans="1:20">
      <c r="A40" s="12" t="s">
        <v>942</v>
      </c>
    </row>
    <row r="41" spans="1:20">
      <c r="A41" s="12" t="s">
        <v>952</v>
      </c>
    </row>
    <row r="42" spans="1:20">
      <c r="A42" s="12" t="s">
        <v>550</v>
      </c>
    </row>
    <row r="43" spans="1:20">
      <c r="A43" s="2" t="s">
        <v>953</v>
      </c>
    </row>
    <row r="44" spans="1:20">
      <c r="A44" s="12" t="s">
        <v>954</v>
      </c>
    </row>
    <row r="45" spans="1:20">
      <c r="A45" s="26" t="s">
        <v>352</v>
      </c>
      <c r="B45" s="26" t="s">
        <v>411</v>
      </c>
      <c r="C45" s="26" t="s">
        <v>482</v>
      </c>
      <c r="D45" s="26" t="s">
        <v>516</v>
      </c>
    </row>
    <row r="46" spans="1:20">
      <c r="A46" s="26" t="s">
        <v>355</v>
      </c>
      <c r="B46" s="26" t="s">
        <v>955</v>
      </c>
      <c r="C46" s="26" t="s">
        <v>956</v>
      </c>
      <c r="D46" s="26" t="s">
        <v>957</v>
      </c>
    </row>
    <row r="48" spans="1:20">
      <c r="B48" s="3" t="s">
        <v>958</v>
      </c>
      <c r="C48" s="3" t="s">
        <v>959</v>
      </c>
      <c r="D48" s="3" t="s">
        <v>960</v>
      </c>
    </row>
    <row r="49" spans="1:5">
      <c r="A49" s="11" t="s">
        <v>172</v>
      </c>
      <c r="B49" s="7">
        <f>'LAFs'!$J$229</f>
        <v>0</v>
      </c>
      <c r="C49" s="17">
        <f>'Multi'!B$109/'Input'!C$158/(24*'Input'!F$58)*1000</f>
        <v>0</v>
      </c>
      <c r="D49" s="33">
        <f>'Loads'!E$282</f>
        <v>0</v>
      </c>
      <c r="E49" s="10"/>
    </row>
    <row r="50" spans="1:5">
      <c r="A50" s="11" t="s">
        <v>173</v>
      </c>
      <c r="B50" s="7">
        <f>'LAFs'!$J$230</f>
        <v>0</v>
      </c>
      <c r="C50" s="17">
        <f>'Multi'!B$110/'Input'!C$159/(24*'Input'!F$58)*1000</f>
        <v>0</v>
      </c>
      <c r="D50" s="33">
        <f>'Loads'!E$283</f>
        <v>0</v>
      </c>
      <c r="E50" s="10"/>
    </row>
    <row r="51" spans="1:5">
      <c r="A51" s="11" t="s">
        <v>174</v>
      </c>
      <c r="B51" s="7">
        <f>'LAFs'!$J$232</f>
        <v>0</v>
      </c>
      <c r="C51" s="17">
        <f>'Multi'!B$112/'Input'!C$161/(24*'Input'!F$58)*1000</f>
        <v>0</v>
      </c>
      <c r="D51" s="33">
        <f>'Loads'!E$285</f>
        <v>0</v>
      </c>
      <c r="E51" s="10"/>
    </row>
    <row r="52" spans="1:5">
      <c r="A52" s="11" t="s">
        <v>175</v>
      </c>
      <c r="B52" s="7">
        <f>'LAFs'!$J$233</f>
        <v>0</v>
      </c>
      <c r="C52" s="17">
        <f>'Multi'!B$113/'Input'!C$162/(24*'Input'!F$58)*1000</f>
        <v>0</v>
      </c>
      <c r="D52" s="33">
        <f>'Loads'!E$286</f>
        <v>0</v>
      </c>
      <c r="E52" s="10"/>
    </row>
    <row r="54" spans="1:5">
      <c r="A54" s="1" t="s">
        <v>961</v>
      </c>
    </row>
    <row r="55" spans="1:5">
      <c r="A55" s="2" t="s">
        <v>349</v>
      </c>
    </row>
    <row r="56" spans="1:5">
      <c r="A56" s="12" t="s">
        <v>962</v>
      </c>
    </row>
    <row r="57" spans="1:5">
      <c r="A57" s="12" t="s">
        <v>963</v>
      </c>
    </row>
    <row r="58" spans="1:5">
      <c r="A58" s="12" t="s">
        <v>964</v>
      </c>
    </row>
    <row r="59" spans="1:5">
      <c r="A59" s="12" t="s">
        <v>965</v>
      </c>
    </row>
    <row r="60" spans="1:5">
      <c r="A60" s="12" t="s">
        <v>966</v>
      </c>
    </row>
    <row r="61" spans="1:5">
      <c r="A61" s="12" t="s">
        <v>967</v>
      </c>
    </row>
    <row r="62" spans="1:5">
      <c r="A62" s="26" t="s">
        <v>352</v>
      </c>
      <c r="B62" s="26" t="s">
        <v>354</v>
      </c>
      <c r="C62" s="26" t="s">
        <v>354</v>
      </c>
      <c r="D62" s="26" t="s">
        <v>482</v>
      </c>
    </row>
    <row r="63" spans="1:5">
      <c r="A63" s="26" t="s">
        <v>355</v>
      </c>
      <c r="B63" s="26" t="s">
        <v>357</v>
      </c>
      <c r="C63" s="26" t="s">
        <v>968</v>
      </c>
      <c r="D63" s="26" t="s">
        <v>969</v>
      </c>
    </row>
    <row r="65" spans="1:5">
      <c r="B65" s="3" t="s">
        <v>970</v>
      </c>
      <c r="C65" s="3" t="s">
        <v>971</v>
      </c>
      <c r="D65" s="3" t="s">
        <v>972</v>
      </c>
    </row>
    <row r="66" spans="1:5">
      <c r="A66" s="11" t="s">
        <v>973</v>
      </c>
      <c r="B66" s="17">
        <f>SUMPRODUCT(B$49:B$52,$C$49:$C$52)</f>
        <v>0</v>
      </c>
      <c r="C66" s="17">
        <f>SUMPRODUCT(B$49:B$52,$D$49:$D$52)</f>
        <v>0</v>
      </c>
      <c r="D66" s="6">
        <f>$B66/$C66/'Input'!E58</f>
        <v>0</v>
      </c>
      <c r="E66" s="10"/>
    </row>
    <row r="68" spans="1:5">
      <c r="A68" s="1" t="s">
        <v>974</v>
      </c>
    </row>
    <row r="69" spans="1:5">
      <c r="A69" s="2" t="s">
        <v>349</v>
      </c>
    </row>
    <row r="70" spans="1:5">
      <c r="A70" s="12" t="s">
        <v>948</v>
      </c>
    </row>
    <row r="71" spans="1:5">
      <c r="A71" s="12" t="s">
        <v>975</v>
      </c>
    </row>
    <row r="72" spans="1:5">
      <c r="A72" s="2" t="s">
        <v>783</v>
      </c>
    </row>
    <row r="74" spans="1:5">
      <c r="B74" s="3" t="s">
        <v>311</v>
      </c>
      <c r="C74" s="3" t="s">
        <v>817</v>
      </c>
    </row>
    <row r="75" spans="1:5">
      <c r="A75" s="11" t="s">
        <v>172</v>
      </c>
      <c r="B75" s="6">
        <f>'Standing'!$J$25*$D$66</f>
        <v>0</v>
      </c>
      <c r="C75" s="6">
        <f>'Standing'!$S$25*$D$66</f>
        <v>0</v>
      </c>
      <c r="D75" s="10"/>
    </row>
    <row r="76" spans="1:5">
      <c r="A76" s="11" t="s">
        <v>173</v>
      </c>
      <c r="B76" s="6">
        <f>'Standing'!$J$26*$D$66</f>
        <v>0</v>
      </c>
      <c r="C76" s="6">
        <f>'Standing'!$S$26*$D$66</f>
        <v>0</v>
      </c>
      <c r="D76" s="10"/>
    </row>
    <row r="77" spans="1:5">
      <c r="A77" s="11" t="s">
        <v>174</v>
      </c>
      <c r="B77" s="6">
        <f>'Standing'!$J$28*$D$66</f>
        <v>0</v>
      </c>
      <c r="C77" s="6">
        <f>'Standing'!$S$28*$D$66</f>
        <v>0</v>
      </c>
      <c r="D77" s="10"/>
    </row>
    <row r="78" spans="1:5">
      <c r="A78" s="11" t="s">
        <v>175</v>
      </c>
      <c r="B78" s="6">
        <f>'Standing'!$J$29*$D$66</f>
        <v>0</v>
      </c>
      <c r="C78" s="6">
        <f>'Standing'!$S$29*$D$66</f>
        <v>0</v>
      </c>
      <c r="D78" s="10"/>
    </row>
    <row r="80" spans="1:5">
      <c r="A80" s="1" t="s">
        <v>976</v>
      </c>
    </row>
    <row r="81" spans="1:20">
      <c r="A81" s="2" t="s">
        <v>349</v>
      </c>
    </row>
    <row r="82" spans="1:20">
      <c r="A82" s="2" t="s">
        <v>977</v>
      </c>
    </row>
    <row r="83" spans="1:20">
      <c r="A83" s="12" t="s">
        <v>978</v>
      </c>
    </row>
    <row r="84" spans="1:20">
      <c r="A84" s="12" t="s">
        <v>979</v>
      </c>
    </row>
    <row r="85" spans="1:20">
      <c r="A85" s="2" t="s">
        <v>392</v>
      </c>
    </row>
    <row r="87" spans="1:20">
      <c r="B87" s="3" t="s">
        <v>140</v>
      </c>
      <c r="C87" s="3" t="s">
        <v>304</v>
      </c>
      <c r="D87" s="3" t="s">
        <v>305</v>
      </c>
      <c r="E87" s="3" t="s">
        <v>306</v>
      </c>
      <c r="F87" s="3" t="s">
        <v>307</v>
      </c>
      <c r="G87" s="3" t="s">
        <v>308</v>
      </c>
      <c r="H87" s="3" t="s">
        <v>309</v>
      </c>
      <c r="I87" s="3" t="s">
        <v>310</v>
      </c>
      <c r="J87" s="3" t="s">
        <v>311</v>
      </c>
      <c r="K87" s="3" t="s">
        <v>292</v>
      </c>
      <c r="L87" s="3" t="s">
        <v>810</v>
      </c>
      <c r="M87" s="3" t="s">
        <v>811</v>
      </c>
      <c r="N87" s="3" t="s">
        <v>812</v>
      </c>
      <c r="O87" s="3" t="s">
        <v>813</v>
      </c>
      <c r="P87" s="3" t="s">
        <v>814</v>
      </c>
      <c r="Q87" s="3" t="s">
        <v>815</v>
      </c>
      <c r="R87" s="3" t="s">
        <v>816</v>
      </c>
      <c r="S87" s="3" t="s">
        <v>817</v>
      </c>
    </row>
    <row r="88" spans="1:20">
      <c r="A88" s="11" t="s">
        <v>172</v>
      </c>
      <c r="B88" s="7">
        <f>B29</f>
        <v>0</v>
      </c>
      <c r="C88" s="7">
        <f>C29</f>
        <v>0</v>
      </c>
      <c r="D88" s="7">
        <f>D29</f>
        <v>0</v>
      </c>
      <c r="E88" s="7">
        <f>E29</f>
        <v>0</v>
      </c>
      <c r="F88" s="7">
        <f>F29</f>
        <v>0</v>
      </c>
      <c r="G88" s="7">
        <f>G29</f>
        <v>0</v>
      </c>
      <c r="H88" s="7">
        <f>H29</f>
        <v>0</v>
      </c>
      <c r="I88" s="7">
        <f>I29</f>
        <v>0</v>
      </c>
      <c r="J88" s="7">
        <f>$B$75</f>
        <v>0</v>
      </c>
      <c r="K88" s="7">
        <f>K29</f>
        <v>0</v>
      </c>
      <c r="L88" s="7">
        <f>L29</f>
        <v>0</v>
      </c>
      <c r="M88" s="7">
        <f>M29</f>
        <v>0</v>
      </c>
      <c r="N88" s="7">
        <f>N29</f>
        <v>0</v>
      </c>
      <c r="O88" s="7">
        <f>O29</f>
        <v>0</v>
      </c>
      <c r="P88" s="7">
        <f>P29</f>
        <v>0</v>
      </c>
      <c r="Q88" s="7">
        <f>Q29</f>
        <v>0</v>
      </c>
      <c r="R88" s="7">
        <f>R29</f>
        <v>0</v>
      </c>
      <c r="S88" s="7">
        <f>$C$75</f>
        <v>0</v>
      </c>
      <c r="T88" s="10"/>
    </row>
    <row r="89" spans="1:20">
      <c r="A89" s="11" t="s">
        <v>173</v>
      </c>
      <c r="B89" s="7">
        <f>B30</f>
        <v>0</v>
      </c>
      <c r="C89" s="7">
        <f>C30</f>
        <v>0</v>
      </c>
      <c r="D89" s="7">
        <f>D30</f>
        <v>0</v>
      </c>
      <c r="E89" s="7">
        <f>E30</f>
        <v>0</v>
      </c>
      <c r="F89" s="7">
        <f>F30</f>
        <v>0</v>
      </c>
      <c r="G89" s="7">
        <f>G30</f>
        <v>0</v>
      </c>
      <c r="H89" s="7">
        <f>H30</f>
        <v>0</v>
      </c>
      <c r="I89" s="7">
        <f>I30</f>
        <v>0</v>
      </c>
      <c r="J89" s="7">
        <f>$B$76</f>
        <v>0</v>
      </c>
      <c r="K89" s="7">
        <f>K30</f>
        <v>0</v>
      </c>
      <c r="L89" s="7">
        <f>L30</f>
        <v>0</v>
      </c>
      <c r="M89" s="7">
        <f>M30</f>
        <v>0</v>
      </c>
      <c r="N89" s="7">
        <f>N30</f>
        <v>0</v>
      </c>
      <c r="O89" s="7">
        <f>O30</f>
        <v>0</v>
      </c>
      <c r="P89" s="7">
        <f>P30</f>
        <v>0</v>
      </c>
      <c r="Q89" s="7">
        <f>Q30</f>
        <v>0</v>
      </c>
      <c r="R89" s="7">
        <f>R30</f>
        <v>0</v>
      </c>
      <c r="S89" s="7">
        <f>$C$76</f>
        <v>0</v>
      </c>
      <c r="T89" s="10"/>
    </row>
    <row r="90" spans="1:20">
      <c r="A90" s="11" t="s">
        <v>174</v>
      </c>
      <c r="B90" s="7">
        <f>B31</f>
        <v>0</v>
      </c>
      <c r="C90" s="7">
        <f>C31</f>
        <v>0</v>
      </c>
      <c r="D90" s="7">
        <f>D31</f>
        <v>0</v>
      </c>
      <c r="E90" s="7">
        <f>E31</f>
        <v>0</v>
      </c>
      <c r="F90" s="7">
        <f>F31</f>
        <v>0</v>
      </c>
      <c r="G90" s="7">
        <f>G31</f>
        <v>0</v>
      </c>
      <c r="H90" s="7">
        <f>H31</f>
        <v>0</v>
      </c>
      <c r="I90" s="7">
        <f>I31</f>
        <v>0</v>
      </c>
      <c r="J90" s="7">
        <f>$B$77</f>
        <v>0</v>
      </c>
      <c r="K90" s="7">
        <f>K31</f>
        <v>0</v>
      </c>
      <c r="L90" s="7">
        <f>L31</f>
        <v>0</v>
      </c>
      <c r="M90" s="7">
        <f>M31</f>
        <v>0</v>
      </c>
      <c r="N90" s="7">
        <f>N31</f>
        <v>0</v>
      </c>
      <c r="O90" s="7">
        <f>O31</f>
        <v>0</v>
      </c>
      <c r="P90" s="7">
        <f>P31</f>
        <v>0</v>
      </c>
      <c r="Q90" s="7">
        <f>Q31</f>
        <v>0</v>
      </c>
      <c r="R90" s="7">
        <f>R31</f>
        <v>0</v>
      </c>
      <c r="S90" s="7">
        <f>$C$77</f>
        <v>0</v>
      </c>
      <c r="T90" s="10"/>
    </row>
    <row r="91" spans="1:20">
      <c r="A91" s="11" t="s">
        <v>175</v>
      </c>
      <c r="B91" s="7">
        <f>B32</f>
        <v>0</v>
      </c>
      <c r="C91" s="7">
        <f>C32</f>
        <v>0</v>
      </c>
      <c r="D91" s="7">
        <f>D32</f>
        <v>0</v>
      </c>
      <c r="E91" s="7">
        <f>E32</f>
        <v>0</v>
      </c>
      <c r="F91" s="7">
        <f>F32</f>
        <v>0</v>
      </c>
      <c r="G91" s="7">
        <f>G32</f>
        <v>0</v>
      </c>
      <c r="H91" s="7">
        <f>H32</f>
        <v>0</v>
      </c>
      <c r="I91" s="7">
        <f>I32</f>
        <v>0</v>
      </c>
      <c r="J91" s="7">
        <f>$B$78</f>
        <v>0</v>
      </c>
      <c r="K91" s="7">
        <f>K32</f>
        <v>0</v>
      </c>
      <c r="L91" s="7">
        <f>L32</f>
        <v>0</v>
      </c>
      <c r="M91" s="7">
        <f>M32</f>
        <v>0</v>
      </c>
      <c r="N91" s="7">
        <f>N32</f>
        <v>0</v>
      </c>
      <c r="O91" s="7">
        <f>O32</f>
        <v>0</v>
      </c>
      <c r="P91" s="7">
        <f>P32</f>
        <v>0</v>
      </c>
      <c r="Q91" s="7">
        <f>Q32</f>
        <v>0</v>
      </c>
      <c r="R91" s="7">
        <f>R32</f>
        <v>0</v>
      </c>
      <c r="S91" s="7">
        <f>$C$78</f>
        <v>0</v>
      </c>
      <c r="T91" s="10"/>
    </row>
    <row r="92" spans="1:20">
      <c r="A92" s="11" t="s">
        <v>176</v>
      </c>
      <c r="B92" s="7">
        <f>B33</f>
        <v>0</v>
      </c>
      <c r="C92" s="7">
        <f>C33</f>
        <v>0</v>
      </c>
      <c r="D92" s="7">
        <f>D33</f>
        <v>0</v>
      </c>
      <c r="E92" s="7">
        <f>E33</f>
        <v>0</v>
      </c>
      <c r="F92" s="7">
        <f>F33</f>
        <v>0</v>
      </c>
      <c r="G92" s="7">
        <f>G33</f>
        <v>0</v>
      </c>
      <c r="H92" s="7">
        <f>H33</f>
        <v>0</v>
      </c>
      <c r="I92" s="7">
        <f>I33</f>
        <v>0</v>
      </c>
      <c r="J92" s="7">
        <f>J33</f>
        <v>0</v>
      </c>
      <c r="K92" s="7">
        <f>K33</f>
        <v>0</v>
      </c>
      <c r="L92" s="7">
        <f>L33</f>
        <v>0</v>
      </c>
      <c r="M92" s="7">
        <f>M33</f>
        <v>0</v>
      </c>
      <c r="N92" s="7">
        <f>N33</f>
        <v>0</v>
      </c>
      <c r="O92" s="7">
        <f>O33</f>
        <v>0</v>
      </c>
      <c r="P92" s="7">
        <f>P33</f>
        <v>0</v>
      </c>
      <c r="Q92" s="7">
        <f>Q33</f>
        <v>0</v>
      </c>
      <c r="R92" s="7">
        <f>R33</f>
        <v>0</v>
      </c>
      <c r="S92" s="7">
        <f>S33</f>
        <v>0</v>
      </c>
      <c r="T92" s="10"/>
    </row>
    <row r="93" spans="1:20">
      <c r="A93" s="11" t="s">
        <v>177</v>
      </c>
      <c r="B93" s="7">
        <f>B34</f>
        <v>0</v>
      </c>
      <c r="C93" s="7">
        <f>C34</f>
        <v>0</v>
      </c>
      <c r="D93" s="7">
        <f>D34</f>
        <v>0</v>
      </c>
      <c r="E93" s="7">
        <f>E34</f>
        <v>0</v>
      </c>
      <c r="F93" s="7">
        <f>F34</f>
        <v>0</v>
      </c>
      <c r="G93" s="7">
        <f>G34</f>
        <v>0</v>
      </c>
      <c r="H93" s="7">
        <f>H34</f>
        <v>0</v>
      </c>
      <c r="I93" s="7">
        <f>I34</f>
        <v>0</v>
      </c>
      <c r="J93" s="7">
        <f>J34</f>
        <v>0</v>
      </c>
      <c r="K93" s="7">
        <f>K34</f>
        <v>0</v>
      </c>
      <c r="L93" s="7">
        <f>L34</f>
        <v>0</v>
      </c>
      <c r="M93" s="7">
        <f>M34</f>
        <v>0</v>
      </c>
      <c r="N93" s="7">
        <f>N34</f>
        <v>0</v>
      </c>
      <c r="O93" s="7">
        <f>O34</f>
        <v>0</v>
      </c>
      <c r="P93" s="7">
        <f>P34</f>
        <v>0</v>
      </c>
      <c r="Q93" s="7">
        <f>Q34</f>
        <v>0</v>
      </c>
      <c r="R93" s="7">
        <f>R34</f>
        <v>0</v>
      </c>
      <c r="S93" s="7">
        <f>S34</f>
        <v>0</v>
      </c>
      <c r="T93" s="10"/>
    </row>
    <row r="94" spans="1:20">
      <c r="A94" s="11" t="s">
        <v>191</v>
      </c>
      <c r="B94" s="7">
        <f>B35</f>
        <v>0</v>
      </c>
      <c r="C94" s="7">
        <f>C35</f>
        <v>0</v>
      </c>
      <c r="D94" s="7">
        <f>D35</f>
        <v>0</v>
      </c>
      <c r="E94" s="7">
        <f>E35</f>
        <v>0</v>
      </c>
      <c r="F94" s="7">
        <f>F35</f>
        <v>0</v>
      </c>
      <c r="G94" s="7">
        <f>G35</f>
        <v>0</v>
      </c>
      <c r="H94" s="7">
        <f>H35</f>
        <v>0</v>
      </c>
      <c r="I94" s="7">
        <f>I35</f>
        <v>0</v>
      </c>
      <c r="J94" s="7">
        <f>J35</f>
        <v>0</v>
      </c>
      <c r="K94" s="7">
        <f>K35</f>
        <v>0</v>
      </c>
      <c r="L94" s="7">
        <f>L35</f>
        <v>0</v>
      </c>
      <c r="M94" s="7">
        <f>M35</f>
        <v>0</v>
      </c>
      <c r="N94" s="7">
        <f>N35</f>
        <v>0</v>
      </c>
      <c r="O94" s="7">
        <f>O35</f>
        <v>0</v>
      </c>
      <c r="P94" s="7">
        <f>P35</f>
        <v>0</v>
      </c>
      <c r="Q94" s="7">
        <f>Q35</f>
        <v>0</v>
      </c>
      <c r="R94" s="7">
        <f>R35</f>
        <v>0</v>
      </c>
      <c r="S94" s="7">
        <f>S35</f>
        <v>0</v>
      </c>
      <c r="T94" s="10"/>
    </row>
  </sheetData>
  <sheetProtection sheet="1" objects="1" scenarios="1"/>
  <hyperlinks>
    <hyperlink ref="A6" location="'Loads'!E281" display="x1 = 2305. MPANs (in Equivalent volume for each end user)"/>
    <hyperlink ref="A7" location="'Multi'!B108" display="x2 = 2407. All units (MWh)"/>
    <hyperlink ref="A8" location="'Input'!E57" display="x3 = 1010. Power factor for all flows in the network model (in Financial and general assumptions)"/>
    <hyperlink ref="A9" location="'Input'!C157" display="x4 = 1041. Load factor for each type of demand user (in Load profile data for demand users)"/>
    <hyperlink ref="A10" location="'Input'!F57" display="x5 = 1010. Days in the charging year (in Financial and general assumptions)"/>
    <hyperlink ref="A24" location="'Standing'!B24" display="x1 = 3002. Capacity elements p/kVA/day"/>
    <hyperlink ref="A25" location="'NHH'!B13" display="x2 = 3101. Average maximum kVA/MPAN by end user class, for user classes without an agreed import capacity"/>
    <hyperlink ref="A39" location="'LAFs'!B228" display="x1 = 2012. Loss adjustment factors between end user meter reading and each network level, scaled by network use"/>
    <hyperlink ref="A40" location="'Multi'!B108" display="x2 = 2407. All units (MWh)"/>
    <hyperlink ref="A41" location="'Input'!C157" display="x3 = 1041. Load factor for each type of demand user (in Load profile data for demand users)"/>
    <hyperlink ref="A42" location="'Input'!F57" display="x4 = 1010. Days in the charging year (in Financial and general assumptions)"/>
    <hyperlink ref="A44" location="'Loads'!E281" display="x6 = 2305. MPANs (in Equivalent volume for each end user)"/>
    <hyperlink ref="A56" location="'NHH'!B48" display="x1 = 3103. Use of LV circuits by each tariff charged on an exit point basis (in Statistics for tariffs charged for LV circuits on an exit point basis)"/>
    <hyperlink ref="A57" location="'NHH'!C48" display="x2 = 3103. Unit-based contributions to aggregate maximum load by network level (kW) (in Statistics for tariffs charged for LV circuits on an exit point basis)"/>
    <hyperlink ref="A58" location="'NHH'!D48" display="x3 = 3103. Relevant MPAN count (in Statistics for tariffs charged for LV circuits on an exit point basis)"/>
    <hyperlink ref="A59" location="'NHH'!B65" display="x4 = Aggregate capacity of tariffs charged charged for LV circuits on an exit point basis (kW) (in Aggregate data for tariffs charged for LV circuits on an exit point basis)"/>
    <hyperlink ref="A60" location="'NHH'!C65" display="x5 = Aggregate number of users charged for LV circuits on an exit point basis (in Aggregate data for tariffs charged for LV circuits on an exit point basis)"/>
    <hyperlink ref="A61" location="'Input'!E57" display="x6 = 1010. Power factor for all flows in the network model (in Financial and general assumptions)"/>
    <hyperlink ref="A70" location="'Standing'!B24" display="x1 = 3002. Capacity elements p/kVA/day"/>
    <hyperlink ref="A71" location="'NHH'!D65" display="x2 = 3104. Average maximum kVA of tariffs charged on an exit point basis for LV circuits (in Aggregate data for tariffs charged for LV circuits on an exit point basis)"/>
    <hyperlink ref="A83" location="'NHH'!B74" display="x2 = 3105. LV fixed charge elements from standing charges factors p/MPAN/day"/>
    <hyperlink ref="A84" location="'NHH'!B28" display="x3 = 3102. Capacity-driven fixed charge elements from standing charges factors p/MPAN/day"/>
  </hyperlinks>
  <pageMargins left="0.7" right="0.7" top="0.75" bottom="0.75" header="0.3" footer="0.3"/>
  <pageSetup fitToHeight="0" orientation="landscape"/>
  <headerFooter>
    <oddHeader>&amp;L&amp;A&amp;Cr6432&amp;R&amp;P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>
      <c r="A1" s="1">
        <f>"Reactive power unit charges"&amp;" for "&amp;'Input'!B7&amp;" in "&amp;'Input'!C7&amp;" ("&amp;'Input'!D7&amp;")"</f>
        <v>0</v>
      </c>
    </row>
    <row r="3" spans="1:20">
      <c r="A3" s="1" t="s">
        <v>980</v>
      </c>
    </row>
    <row r="4" spans="1:20">
      <c r="A4" s="2" t="s">
        <v>349</v>
      </c>
    </row>
    <row r="5" spans="1:20">
      <c r="A5" s="12" t="s">
        <v>981</v>
      </c>
    </row>
    <row r="6" spans="1:20">
      <c r="A6" s="2" t="s">
        <v>982</v>
      </c>
    </row>
    <row r="8" spans="1:20">
      <c r="B8" s="3" t="s">
        <v>140</v>
      </c>
      <c r="C8" s="3" t="s">
        <v>304</v>
      </c>
      <c r="D8" s="3" t="s">
        <v>305</v>
      </c>
      <c r="E8" s="3" t="s">
        <v>306</v>
      </c>
      <c r="F8" s="3" t="s">
        <v>307</v>
      </c>
      <c r="G8" s="3" t="s">
        <v>308</v>
      </c>
      <c r="H8" s="3" t="s">
        <v>309</v>
      </c>
      <c r="I8" s="3" t="s">
        <v>310</v>
      </c>
      <c r="J8" s="3" t="s">
        <v>311</v>
      </c>
      <c r="K8" s="3" t="s">
        <v>292</v>
      </c>
      <c r="L8" s="3" t="s">
        <v>810</v>
      </c>
      <c r="M8" s="3" t="s">
        <v>811</v>
      </c>
      <c r="N8" s="3" t="s">
        <v>812</v>
      </c>
      <c r="O8" s="3" t="s">
        <v>813</v>
      </c>
      <c r="P8" s="3" t="s">
        <v>814</v>
      </c>
      <c r="Q8" s="3" t="s">
        <v>815</v>
      </c>
      <c r="R8" s="3" t="s">
        <v>816</v>
      </c>
      <c r="S8" s="3" t="s">
        <v>817</v>
      </c>
    </row>
    <row r="9" spans="1:20">
      <c r="A9" s="11" t="s">
        <v>178</v>
      </c>
      <c r="B9" s="6">
        <f>ABS('Standing'!B$59)</f>
        <v>0</v>
      </c>
      <c r="C9" s="6">
        <f>ABS('Standing'!C$59)</f>
        <v>0</v>
      </c>
      <c r="D9" s="6">
        <f>ABS('Standing'!D$59)</f>
        <v>0</v>
      </c>
      <c r="E9" s="6">
        <f>ABS('Standing'!E$59)</f>
        <v>0</v>
      </c>
      <c r="F9" s="6">
        <f>ABS('Standing'!F$59)</f>
        <v>0</v>
      </c>
      <c r="G9" s="6">
        <f>ABS('Standing'!G$59)</f>
        <v>0</v>
      </c>
      <c r="H9" s="6">
        <f>ABS('Standing'!H$59)</f>
        <v>0</v>
      </c>
      <c r="I9" s="6">
        <f>ABS('Standing'!I$59)</f>
        <v>0</v>
      </c>
      <c r="J9" s="6">
        <f>ABS('Standing'!J$59)</f>
        <v>0</v>
      </c>
      <c r="K9" s="6">
        <f>ABS('Standing'!K$59)</f>
        <v>0</v>
      </c>
      <c r="L9" s="6">
        <f>ABS('Standing'!L$59)</f>
        <v>0</v>
      </c>
      <c r="M9" s="6">
        <f>ABS('Standing'!M$59)</f>
        <v>0</v>
      </c>
      <c r="N9" s="6">
        <f>ABS('Standing'!N$59)</f>
        <v>0</v>
      </c>
      <c r="O9" s="6">
        <f>ABS('Standing'!O$59)</f>
        <v>0</v>
      </c>
      <c r="P9" s="6">
        <f>ABS('Standing'!P$59)</f>
        <v>0</v>
      </c>
      <c r="Q9" s="6">
        <f>ABS('Standing'!Q$59)</f>
        <v>0</v>
      </c>
      <c r="R9" s="6">
        <f>ABS('Standing'!R$59)</f>
        <v>0</v>
      </c>
      <c r="S9" s="6">
        <f>ABS('Standing'!S$59)</f>
        <v>0</v>
      </c>
      <c r="T9" s="10"/>
    </row>
    <row r="10" spans="1:20">
      <c r="A10" s="11" t="s">
        <v>179</v>
      </c>
      <c r="B10" s="6">
        <f>ABS('Standing'!B$60)</f>
        <v>0</v>
      </c>
      <c r="C10" s="6">
        <f>ABS('Standing'!C$60)</f>
        <v>0</v>
      </c>
      <c r="D10" s="6">
        <f>ABS('Standing'!D$60)</f>
        <v>0</v>
      </c>
      <c r="E10" s="6">
        <f>ABS('Standing'!E$60)</f>
        <v>0</v>
      </c>
      <c r="F10" s="6">
        <f>ABS('Standing'!F$60)</f>
        <v>0</v>
      </c>
      <c r="G10" s="6">
        <f>ABS('Standing'!G$60)</f>
        <v>0</v>
      </c>
      <c r="H10" s="6">
        <f>ABS('Standing'!H$60)</f>
        <v>0</v>
      </c>
      <c r="I10" s="6">
        <f>ABS('Standing'!I$60)</f>
        <v>0</v>
      </c>
      <c r="J10" s="6">
        <f>ABS('Standing'!J$60)</f>
        <v>0</v>
      </c>
      <c r="K10" s="6">
        <f>ABS('Standing'!K$60)</f>
        <v>0</v>
      </c>
      <c r="L10" s="6">
        <f>ABS('Standing'!L$60)</f>
        <v>0</v>
      </c>
      <c r="M10" s="6">
        <f>ABS('Standing'!M$60)</f>
        <v>0</v>
      </c>
      <c r="N10" s="6">
        <f>ABS('Standing'!N$60)</f>
        <v>0</v>
      </c>
      <c r="O10" s="6">
        <f>ABS('Standing'!O$60)</f>
        <v>0</v>
      </c>
      <c r="P10" s="6">
        <f>ABS('Standing'!P$60)</f>
        <v>0</v>
      </c>
      <c r="Q10" s="6">
        <f>ABS('Standing'!Q$60)</f>
        <v>0</v>
      </c>
      <c r="R10" s="6">
        <f>ABS('Standing'!R$60)</f>
        <v>0</v>
      </c>
      <c r="S10" s="6">
        <f>ABS('Standing'!S$60)</f>
        <v>0</v>
      </c>
      <c r="T10" s="10"/>
    </row>
    <row r="11" spans="1:20">
      <c r="A11" s="11" t="s">
        <v>192</v>
      </c>
      <c r="B11" s="6">
        <f>ABS('Standing'!B$61)</f>
        <v>0</v>
      </c>
      <c r="C11" s="6">
        <f>ABS('Standing'!C$61)</f>
        <v>0</v>
      </c>
      <c r="D11" s="6">
        <f>ABS('Standing'!D$61)</f>
        <v>0</v>
      </c>
      <c r="E11" s="6">
        <f>ABS('Standing'!E$61)</f>
        <v>0</v>
      </c>
      <c r="F11" s="6">
        <f>ABS('Standing'!F$61)</f>
        <v>0</v>
      </c>
      <c r="G11" s="6">
        <f>ABS('Standing'!G$61)</f>
        <v>0</v>
      </c>
      <c r="H11" s="6">
        <f>ABS('Standing'!H$61)</f>
        <v>0</v>
      </c>
      <c r="I11" s="6">
        <f>ABS('Standing'!I$61)</f>
        <v>0</v>
      </c>
      <c r="J11" s="6">
        <f>ABS('Standing'!J$61)</f>
        <v>0</v>
      </c>
      <c r="K11" s="6">
        <f>ABS('Standing'!K$61)</f>
        <v>0</v>
      </c>
      <c r="L11" s="6">
        <f>ABS('Standing'!L$61)</f>
        <v>0</v>
      </c>
      <c r="M11" s="6">
        <f>ABS('Standing'!M$61)</f>
        <v>0</v>
      </c>
      <c r="N11" s="6">
        <f>ABS('Standing'!N$61)</f>
        <v>0</v>
      </c>
      <c r="O11" s="6">
        <f>ABS('Standing'!O$61)</f>
        <v>0</v>
      </c>
      <c r="P11" s="6">
        <f>ABS('Standing'!P$61)</f>
        <v>0</v>
      </c>
      <c r="Q11" s="6">
        <f>ABS('Standing'!Q$61)</f>
        <v>0</v>
      </c>
      <c r="R11" s="6">
        <f>ABS('Standing'!R$61)</f>
        <v>0</v>
      </c>
      <c r="S11" s="6">
        <f>ABS('Standing'!S$61)</f>
        <v>0</v>
      </c>
      <c r="T11" s="10"/>
    </row>
    <row r="13" spans="1:20">
      <c r="A13" s="1" t="s">
        <v>983</v>
      </c>
    </row>
    <row r="14" spans="1:20">
      <c r="A14" s="2" t="s">
        <v>349</v>
      </c>
    </row>
    <row r="15" spans="1:20">
      <c r="A15" s="12" t="s">
        <v>984</v>
      </c>
    </row>
    <row r="16" spans="1:20">
      <c r="A16" s="12" t="s">
        <v>985</v>
      </c>
    </row>
    <row r="17" spans="1:20">
      <c r="A17" s="12" t="s">
        <v>943</v>
      </c>
    </row>
    <row r="18" spans="1:20">
      <c r="A18" s="2" t="s">
        <v>986</v>
      </c>
    </row>
    <row r="20" spans="1:20">
      <c r="B20" s="3" t="s">
        <v>140</v>
      </c>
      <c r="C20" s="3" t="s">
        <v>304</v>
      </c>
      <c r="D20" s="3" t="s">
        <v>305</v>
      </c>
      <c r="E20" s="3" t="s">
        <v>306</v>
      </c>
      <c r="F20" s="3" t="s">
        <v>307</v>
      </c>
      <c r="G20" s="3" t="s">
        <v>308</v>
      </c>
      <c r="H20" s="3" t="s">
        <v>309</v>
      </c>
      <c r="I20" s="3" t="s">
        <v>310</v>
      </c>
      <c r="J20" s="3" t="s">
        <v>311</v>
      </c>
      <c r="K20" s="3" t="s">
        <v>292</v>
      </c>
      <c r="L20" s="3" t="s">
        <v>810</v>
      </c>
      <c r="M20" s="3" t="s">
        <v>811</v>
      </c>
      <c r="N20" s="3" t="s">
        <v>812</v>
      </c>
      <c r="O20" s="3" t="s">
        <v>813</v>
      </c>
      <c r="P20" s="3" t="s">
        <v>814</v>
      </c>
      <c r="Q20" s="3" t="s">
        <v>815</v>
      </c>
      <c r="R20" s="3" t="s">
        <v>816</v>
      </c>
      <c r="S20" s="3" t="s">
        <v>817</v>
      </c>
    </row>
    <row r="21" spans="1:20">
      <c r="A21" s="11" t="s">
        <v>178</v>
      </c>
      <c r="B21" s="6">
        <f>B9*'Input'!B$356*'Input'!$E$58</f>
        <v>0</v>
      </c>
      <c r="C21" s="6">
        <f>C9*'Input'!C$356*'Input'!$E$58</f>
        <v>0</v>
      </c>
      <c r="D21" s="6">
        <f>D9*'Input'!D$356*'Input'!$E$58</f>
        <v>0</v>
      </c>
      <c r="E21" s="6">
        <f>E9*'Input'!E$356*'Input'!$E$58</f>
        <v>0</v>
      </c>
      <c r="F21" s="6">
        <f>F9*'Input'!F$356*'Input'!$E$58</f>
        <v>0</v>
      </c>
      <c r="G21" s="6">
        <f>G9*'Input'!G$356*'Input'!$E$58</f>
        <v>0</v>
      </c>
      <c r="H21" s="6">
        <f>H9*'Input'!H$356*'Input'!$E$58</f>
        <v>0</v>
      </c>
      <c r="I21" s="6">
        <f>I9*'Input'!I$356*'Input'!$E$58</f>
        <v>0</v>
      </c>
      <c r="J21" s="6">
        <f>J9*'Input'!J$356*'Input'!$E$58</f>
        <v>0</v>
      </c>
      <c r="K21" s="6">
        <f>K9*'Input'!B$356*'Input'!$E$58</f>
        <v>0</v>
      </c>
      <c r="L21" s="6">
        <f>L9*'Input'!C$356*'Input'!$E$58</f>
        <v>0</v>
      </c>
      <c r="M21" s="6">
        <f>M9*'Input'!D$356*'Input'!$E$58</f>
        <v>0</v>
      </c>
      <c r="N21" s="6">
        <f>N9*'Input'!E$356*'Input'!$E$58</f>
        <v>0</v>
      </c>
      <c r="O21" s="6">
        <f>O9*'Input'!F$356*'Input'!$E$58</f>
        <v>0</v>
      </c>
      <c r="P21" s="6">
        <f>P9*'Input'!G$356*'Input'!$E$58</f>
        <v>0</v>
      </c>
      <c r="Q21" s="6">
        <f>Q9*'Input'!H$356*'Input'!$E$58</f>
        <v>0</v>
      </c>
      <c r="R21" s="6">
        <f>R9*'Input'!I$356*'Input'!$E$58</f>
        <v>0</v>
      </c>
      <c r="S21" s="6">
        <f>S9*'Input'!J$356*'Input'!$E$58</f>
        <v>0</v>
      </c>
      <c r="T21" s="10"/>
    </row>
    <row r="22" spans="1:20">
      <c r="A22" s="11" t="s">
        <v>179</v>
      </c>
      <c r="B22" s="6">
        <f>B10*'Input'!B$356*'Input'!$E$58</f>
        <v>0</v>
      </c>
      <c r="C22" s="6">
        <f>C10*'Input'!C$356*'Input'!$E$58</f>
        <v>0</v>
      </c>
      <c r="D22" s="6">
        <f>D10*'Input'!D$356*'Input'!$E$58</f>
        <v>0</v>
      </c>
      <c r="E22" s="6">
        <f>E10*'Input'!E$356*'Input'!$E$58</f>
        <v>0</v>
      </c>
      <c r="F22" s="6">
        <f>F10*'Input'!F$356*'Input'!$E$58</f>
        <v>0</v>
      </c>
      <c r="G22" s="6">
        <f>G10*'Input'!G$356*'Input'!$E$58</f>
        <v>0</v>
      </c>
      <c r="H22" s="6">
        <f>H10*'Input'!H$356*'Input'!$E$58</f>
        <v>0</v>
      </c>
      <c r="I22" s="6">
        <f>I10*'Input'!I$356*'Input'!$E$58</f>
        <v>0</v>
      </c>
      <c r="J22" s="6">
        <f>J10*'Input'!J$356*'Input'!$E$58</f>
        <v>0</v>
      </c>
      <c r="K22" s="6">
        <f>K10*'Input'!B$356*'Input'!$E$58</f>
        <v>0</v>
      </c>
      <c r="L22" s="6">
        <f>L10*'Input'!C$356*'Input'!$E$58</f>
        <v>0</v>
      </c>
      <c r="M22" s="6">
        <f>M10*'Input'!D$356*'Input'!$E$58</f>
        <v>0</v>
      </c>
      <c r="N22" s="6">
        <f>N10*'Input'!E$356*'Input'!$E$58</f>
        <v>0</v>
      </c>
      <c r="O22" s="6">
        <f>O10*'Input'!F$356*'Input'!$E$58</f>
        <v>0</v>
      </c>
      <c r="P22" s="6">
        <f>P10*'Input'!G$356*'Input'!$E$58</f>
        <v>0</v>
      </c>
      <c r="Q22" s="6">
        <f>Q10*'Input'!H$356*'Input'!$E$58</f>
        <v>0</v>
      </c>
      <c r="R22" s="6">
        <f>R10*'Input'!I$356*'Input'!$E$58</f>
        <v>0</v>
      </c>
      <c r="S22" s="6">
        <f>S10*'Input'!J$356*'Input'!$E$58</f>
        <v>0</v>
      </c>
      <c r="T22" s="10"/>
    </row>
    <row r="23" spans="1:20">
      <c r="A23" s="11" t="s">
        <v>192</v>
      </c>
      <c r="B23" s="6">
        <f>B11*'Input'!B$356*'Input'!$E$58</f>
        <v>0</v>
      </c>
      <c r="C23" s="6">
        <f>C11*'Input'!C$356*'Input'!$E$58</f>
        <v>0</v>
      </c>
      <c r="D23" s="6">
        <f>D11*'Input'!D$356*'Input'!$E$58</f>
        <v>0</v>
      </c>
      <c r="E23" s="6">
        <f>E11*'Input'!E$356*'Input'!$E$58</f>
        <v>0</v>
      </c>
      <c r="F23" s="6">
        <f>F11*'Input'!F$356*'Input'!$E$58</f>
        <v>0</v>
      </c>
      <c r="G23" s="6">
        <f>G11*'Input'!G$356*'Input'!$E$58</f>
        <v>0</v>
      </c>
      <c r="H23" s="6">
        <f>H11*'Input'!H$356*'Input'!$E$58</f>
        <v>0</v>
      </c>
      <c r="I23" s="6">
        <f>I11*'Input'!I$356*'Input'!$E$58</f>
        <v>0</v>
      </c>
      <c r="J23" s="6">
        <f>J11*'Input'!J$356*'Input'!$E$58</f>
        <v>0</v>
      </c>
      <c r="K23" s="6">
        <f>K11*'Input'!B$356*'Input'!$E$58</f>
        <v>0</v>
      </c>
      <c r="L23" s="6">
        <f>L11*'Input'!C$356*'Input'!$E$58</f>
        <v>0</v>
      </c>
      <c r="M23" s="6">
        <f>M11*'Input'!D$356*'Input'!$E$58</f>
        <v>0</v>
      </c>
      <c r="N23" s="6">
        <f>N11*'Input'!E$356*'Input'!$E$58</f>
        <v>0</v>
      </c>
      <c r="O23" s="6">
        <f>O11*'Input'!F$356*'Input'!$E$58</f>
        <v>0</v>
      </c>
      <c r="P23" s="6">
        <f>P11*'Input'!G$356*'Input'!$E$58</f>
        <v>0</v>
      </c>
      <c r="Q23" s="6">
        <f>Q11*'Input'!H$356*'Input'!$E$58</f>
        <v>0</v>
      </c>
      <c r="R23" s="6">
        <f>R11*'Input'!I$356*'Input'!$E$58</f>
        <v>0</v>
      </c>
      <c r="S23" s="6">
        <f>S11*'Input'!J$356*'Input'!$E$58</f>
        <v>0</v>
      </c>
      <c r="T23" s="10"/>
    </row>
    <row r="25" spans="1:20">
      <c r="A25" s="1" t="s">
        <v>987</v>
      </c>
    </row>
    <row r="26" spans="1:20">
      <c r="A26" s="2" t="s">
        <v>988</v>
      </c>
    </row>
    <row r="27" spans="1:20">
      <c r="A27" s="2" t="s">
        <v>989</v>
      </c>
    </row>
    <row r="29" spans="1:20">
      <c r="B29" s="3" t="s">
        <v>140</v>
      </c>
      <c r="C29" s="3" t="s">
        <v>141</v>
      </c>
      <c r="D29" s="3" t="s">
        <v>142</v>
      </c>
      <c r="E29" s="3" t="s">
        <v>143</v>
      </c>
      <c r="F29" s="3" t="s">
        <v>144</v>
      </c>
      <c r="G29" s="3" t="s">
        <v>149</v>
      </c>
      <c r="H29" s="3" t="s">
        <v>145</v>
      </c>
      <c r="I29" s="3" t="s">
        <v>146</v>
      </c>
      <c r="J29" s="3" t="s">
        <v>147</v>
      </c>
    </row>
    <row r="30" spans="1:20">
      <c r="A30" s="11" t="s">
        <v>182</v>
      </c>
      <c r="B30" s="28">
        <v>1</v>
      </c>
      <c r="C30" s="28">
        <v>1</v>
      </c>
      <c r="D30" s="28">
        <v>1</v>
      </c>
      <c r="E30" s="28">
        <v>1</v>
      </c>
      <c r="F30" s="28">
        <v>1</v>
      </c>
      <c r="G30" s="28">
        <v>1</v>
      </c>
      <c r="H30" s="28">
        <v>1</v>
      </c>
      <c r="I30" s="28">
        <v>1</v>
      </c>
      <c r="J30" s="28">
        <v>1</v>
      </c>
      <c r="K30" s="10"/>
    </row>
    <row r="31" spans="1:20">
      <c r="A31" s="11" t="s">
        <v>183</v>
      </c>
      <c r="B31" s="28">
        <v>1</v>
      </c>
      <c r="C31" s="28">
        <v>1</v>
      </c>
      <c r="D31" s="28">
        <v>1</v>
      </c>
      <c r="E31" s="28">
        <v>1</v>
      </c>
      <c r="F31" s="28">
        <v>1</v>
      </c>
      <c r="G31" s="28">
        <v>1</v>
      </c>
      <c r="H31" s="28">
        <v>1</v>
      </c>
      <c r="I31" s="28">
        <v>1</v>
      </c>
      <c r="J31" s="28">
        <v>1</v>
      </c>
      <c r="K31" s="10"/>
    </row>
    <row r="32" spans="1:20">
      <c r="A32" s="11" t="s">
        <v>184</v>
      </c>
      <c r="B32" s="28">
        <v>1</v>
      </c>
      <c r="C32" s="28">
        <v>1</v>
      </c>
      <c r="D32" s="28">
        <v>1</v>
      </c>
      <c r="E32" s="28">
        <v>1</v>
      </c>
      <c r="F32" s="28">
        <v>1</v>
      </c>
      <c r="G32" s="28">
        <v>1</v>
      </c>
      <c r="H32" s="28">
        <v>1</v>
      </c>
      <c r="I32" s="28">
        <v>1</v>
      </c>
      <c r="J32" s="28">
        <v>0</v>
      </c>
      <c r="K32" s="10"/>
    </row>
    <row r="33" spans="1:11">
      <c r="A33" s="11" t="s">
        <v>185</v>
      </c>
      <c r="B33" s="28">
        <v>1</v>
      </c>
      <c r="C33" s="28">
        <v>1</v>
      </c>
      <c r="D33" s="28">
        <v>1</v>
      </c>
      <c r="E33" s="28">
        <v>1</v>
      </c>
      <c r="F33" s="28">
        <v>1</v>
      </c>
      <c r="G33" s="28">
        <v>1</v>
      </c>
      <c r="H33" s="28">
        <v>1</v>
      </c>
      <c r="I33" s="28">
        <v>1</v>
      </c>
      <c r="J33" s="28">
        <v>0</v>
      </c>
      <c r="K33" s="10"/>
    </row>
    <row r="34" spans="1:11">
      <c r="A34" s="11" t="s">
        <v>193</v>
      </c>
      <c r="B34" s="28">
        <v>1</v>
      </c>
      <c r="C34" s="28">
        <v>1</v>
      </c>
      <c r="D34" s="28">
        <v>1</v>
      </c>
      <c r="E34" s="28">
        <v>1</v>
      </c>
      <c r="F34" s="28">
        <v>1</v>
      </c>
      <c r="G34" s="28">
        <v>1</v>
      </c>
      <c r="H34" s="28">
        <v>1</v>
      </c>
      <c r="I34" s="28">
        <v>0</v>
      </c>
      <c r="J34" s="28">
        <v>0</v>
      </c>
      <c r="K34" s="10"/>
    </row>
    <row r="35" spans="1:11">
      <c r="A35" s="11" t="s">
        <v>194</v>
      </c>
      <c r="B35" s="28">
        <v>1</v>
      </c>
      <c r="C35" s="28">
        <v>1</v>
      </c>
      <c r="D35" s="28">
        <v>1</v>
      </c>
      <c r="E35" s="28">
        <v>1</v>
      </c>
      <c r="F35" s="28">
        <v>1</v>
      </c>
      <c r="G35" s="28">
        <v>1</v>
      </c>
      <c r="H35" s="28">
        <v>1</v>
      </c>
      <c r="I35" s="28">
        <v>0</v>
      </c>
      <c r="J35" s="28">
        <v>0</v>
      </c>
      <c r="K35" s="10"/>
    </row>
    <row r="37" spans="1:11">
      <c r="A37" s="1" t="s">
        <v>990</v>
      </c>
    </row>
    <row r="38" spans="1:11">
      <c r="A38" s="2" t="s">
        <v>349</v>
      </c>
    </row>
    <row r="39" spans="1:11">
      <c r="A39" s="12" t="s">
        <v>991</v>
      </c>
    </row>
    <row r="40" spans="1:11">
      <c r="A40" s="2" t="s">
        <v>982</v>
      </c>
    </row>
    <row r="42" spans="1:11">
      <c r="B42" s="3" t="s">
        <v>992</v>
      </c>
    </row>
    <row r="43" spans="1:11">
      <c r="A43" s="11" t="s">
        <v>182</v>
      </c>
      <c r="B43" s="6">
        <f>ABS('Loads'!B$63)</f>
        <v>0</v>
      </c>
      <c r="C43" s="10"/>
    </row>
    <row r="44" spans="1:11">
      <c r="A44" s="11" t="s">
        <v>183</v>
      </c>
      <c r="B44" s="6">
        <f>ABS('Loads'!B$64)</f>
        <v>0</v>
      </c>
      <c r="C44" s="10"/>
    </row>
    <row r="45" spans="1:11">
      <c r="A45" s="11" t="s">
        <v>184</v>
      </c>
      <c r="B45" s="6">
        <f>ABS('Loads'!B$65)</f>
        <v>0</v>
      </c>
      <c r="C45" s="10"/>
    </row>
    <row r="46" spans="1:11">
      <c r="A46" s="11" t="s">
        <v>185</v>
      </c>
      <c r="B46" s="6">
        <f>ABS('Loads'!B$66)</f>
        <v>0</v>
      </c>
      <c r="C46" s="10"/>
    </row>
    <row r="47" spans="1:11">
      <c r="A47" s="11" t="s">
        <v>193</v>
      </c>
      <c r="B47" s="6">
        <f>ABS('Loads'!B$67)</f>
        <v>0</v>
      </c>
      <c r="C47" s="10"/>
    </row>
    <row r="48" spans="1:11">
      <c r="A48" s="11" t="s">
        <v>194</v>
      </c>
      <c r="B48" s="6">
        <f>ABS('Loads'!B$68)</f>
        <v>0</v>
      </c>
      <c r="C48" s="10"/>
    </row>
    <row r="50" spans="1:20">
      <c r="A50" s="1" t="s">
        <v>993</v>
      </c>
    </row>
    <row r="51" spans="1:20">
      <c r="A51" s="2" t="s">
        <v>349</v>
      </c>
    </row>
    <row r="52" spans="1:20">
      <c r="A52" s="12" t="s">
        <v>906</v>
      </c>
    </row>
    <row r="53" spans="1:20">
      <c r="A53" s="12" t="s">
        <v>994</v>
      </c>
    </row>
    <row r="54" spans="1:20">
      <c r="A54" s="12" t="s">
        <v>396</v>
      </c>
    </row>
    <row r="55" spans="1:20">
      <c r="A55" s="12" t="s">
        <v>995</v>
      </c>
    </row>
    <row r="56" spans="1:20">
      <c r="A56" s="12" t="s">
        <v>996</v>
      </c>
    </row>
    <row r="57" spans="1:20">
      <c r="A57" s="12" t="s">
        <v>997</v>
      </c>
    </row>
    <row r="58" spans="1:20">
      <c r="A58" s="12" t="s">
        <v>998</v>
      </c>
    </row>
    <row r="59" spans="1:20">
      <c r="A59" s="2" t="s">
        <v>999</v>
      </c>
    </row>
    <row r="61" spans="1:20">
      <c r="B61" s="3" t="s">
        <v>140</v>
      </c>
      <c r="C61" s="3" t="s">
        <v>304</v>
      </c>
      <c r="D61" s="3" t="s">
        <v>305</v>
      </c>
      <c r="E61" s="3" t="s">
        <v>306</v>
      </c>
      <c r="F61" s="3" t="s">
        <v>307</v>
      </c>
      <c r="G61" s="3" t="s">
        <v>308</v>
      </c>
      <c r="H61" s="3" t="s">
        <v>309</v>
      </c>
      <c r="I61" s="3" t="s">
        <v>310</v>
      </c>
      <c r="J61" s="3" t="s">
        <v>311</v>
      </c>
      <c r="K61" s="3" t="s">
        <v>292</v>
      </c>
      <c r="L61" s="3" t="s">
        <v>810</v>
      </c>
      <c r="M61" s="3" t="s">
        <v>811</v>
      </c>
      <c r="N61" s="3" t="s">
        <v>812</v>
      </c>
      <c r="O61" s="3" t="s">
        <v>813</v>
      </c>
      <c r="P61" s="3" t="s">
        <v>814</v>
      </c>
      <c r="Q61" s="3" t="s">
        <v>815</v>
      </c>
      <c r="R61" s="3" t="s">
        <v>816</v>
      </c>
      <c r="S61" s="3" t="s">
        <v>817</v>
      </c>
    </row>
    <row r="62" spans="1:20">
      <c r="A62" s="11" t="s">
        <v>182</v>
      </c>
      <c r="B62" s="6">
        <f>'Yard'!B$11*$B$43*'LAFs'!$I$33/'LAFs'!B$75*(1-'Contrib'!B$109)*B30/(24*'Input'!$F$58)*100</f>
        <v>0</v>
      </c>
      <c r="C62" s="6">
        <f>'Yard'!C$11*$B$43*'LAFs'!$I$33/'LAFs'!C$75*(1-'Contrib'!C$109)*C30/(24*'Input'!$F$58)*100</f>
        <v>0</v>
      </c>
      <c r="D62" s="6">
        <f>'Yard'!D$11*$B$43*'LAFs'!$I$33/'LAFs'!D$75*(1-'Contrib'!D$109)*D30/(24*'Input'!$F$58)*100</f>
        <v>0</v>
      </c>
      <c r="E62" s="6">
        <f>'Yard'!E$11*$B$43*'LAFs'!$I$33/'LAFs'!E$75*(1-'Contrib'!E$109)*E30/(24*'Input'!$F$58)*100</f>
        <v>0</v>
      </c>
      <c r="F62" s="6">
        <f>'Yard'!F$11*$B$43*'LAFs'!$I$33/'LAFs'!F$75*(1-'Contrib'!F$109)*F30/(24*'Input'!$F$58)*100</f>
        <v>0</v>
      </c>
      <c r="G62" s="6">
        <f>'Yard'!G$11*$B$43*'LAFs'!$I$33/'LAFs'!G$75*(1-'Contrib'!G$109)*G30/(24*'Input'!$F$58)*100</f>
        <v>0</v>
      </c>
      <c r="H62" s="6">
        <f>'Yard'!H$11*$B$43*'LAFs'!$I$33/'LAFs'!H$75*(1-'Contrib'!H$109)*H30/(24*'Input'!$F$58)*100</f>
        <v>0</v>
      </c>
      <c r="I62" s="6">
        <f>'Yard'!I$11*$B$43*'LAFs'!$I$33/'LAFs'!I$75*(1-'Contrib'!I$109)*I30/(24*'Input'!$F$58)*100</f>
        <v>0</v>
      </c>
      <c r="J62" s="6">
        <f>'Yard'!J$11*$B$43*'LAFs'!$I$33/'LAFs'!J$75*(1-'Contrib'!J$109)*J30/(24*'Input'!$F$58)*100</f>
        <v>0</v>
      </c>
      <c r="K62" s="6">
        <f>'Yard'!K$11*$B$43*'LAFs'!$I$33/'LAFs'!B$75*(1-'Contrib'!K$109)*B30/(24*'Input'!$F$58)*100</f>
        <v>0</v>
      </c>
      <c r="L62" s="6">
        <f>'Yard'!L$11*$B$43*'LAFs'!$I$33/'LAFs'!C$75*(1-'Contrib'!L$109)*C30/(24*'Input'!$F$58)*100</f>
        <v>0</v>
      </c>
      <c r="M62" s="6">
        <f>'Yard'!M$11*$B$43*'LAFs'!$I$33/'LAFs'!D$75*(1-'Contrib'!M$109)*D30/(24*'Input'!$F$58)*100</f>
        <v>0</v>
      </c>
      <c r="N62" s="6">
        <f>'Yard'!N$11*$B$43*'LAFs'!$I$33/'LAFs'!E$75*(1-'Contrib'!N$109)*E30/(24*'Input'!$F$58)*100</f>
        <v>0</v>
      </c>
      <c r="O62" s="6">
        <f>'Yard'!O$11*$B$43*'LAFs'!$I$33/'LAFs'!F$75*(1-'Contrib'!O$109)*F30/(24*'Input'!$F$58)*100</f>
        <v>0</v>
      </c>
      <c r="P62" s="6">
        <f>'Yard'!P$11*$B$43*'LAFs'!$I$33/'LAFs'!G$75*(1-'Contrib'!P$109)*G30/(24*'Input'!$F$58)*100</f>
        <v>0</v>
      </c>
      <c r="Q62" s="6">
        <f>'Yard'!Q$11*$B$43*'LAFs'!$I$33/'LAFs'!H$75*(1-'Contrib'!Q$109)*H30/(24*'Input'!$F$58)*100</f>
        <v>0</v>
      </c>
      <c r="R62" s="6">
        <f>'Yard'!R$11*$B$43*'LAFs'!$I$33/'LAFs'!I$75*(1-'Contrib'!R$109)*I30/(24*'Input'!$F$58)*100</f>
        <v>0</v>
      </c>
      <c r="S62" s="6">
        <f>'Yard'!S$11*$B$43*'LAFs'!$I$33/'LAFs'!J$75*(1-'Contrib'!S$109)*J30/(24*'Input'!$F$58)*100</f>
        <v>0</v>
      </c>
      <c r="T62" s="10"/>
    </row>
    <row r="63" spans="1:20">
      <c r="A63" s="11" t="s">
        <v>183</v>
      </c>
      <c r="B63" s="6">
        <f>'Yard'!B$11*$B$44*'LAFs'!$I$34/'LAFs'!B$75*(1-'Contrib'!B$110)*B31/(24*'Input'!$F$58)*100</f>
        <v>0</v>
      </c>
      <c r="C63" s="6">
        <f>'Yard'!C$11*$B$44*'LAFs'!$I$34/'LAFs'!C$75*(1-'Contrib'!C$110)*C31/(24*'Input'!$F$58)*100</f>
        <v>0</v>
      </c>
      <c r="D63" s="6">
        <f>'Yard'!D$11*$B$44*'LAFs'!$I$34/'LAFs'!D$75*(1-'Contrib'!D$110)*D31/(24*'Input'!$F$58)*100</f>
        <v>0</v>
      </c>
      <c r="E63" s="6">
        <f>'Yard'!E$11*$B$44*'LAFs'!$I$34/'LAFs'!E$75*(1-'Contrib'!E$110)*E31/(24*'Input'!$F$58)*100</f>
        <v>0</v>
      </c>
      <c r="F63" s="6">
        <f>'Yard'!F$11*$B$44*'LAFs'!$I$34/'LAFs'!F$75*(1-'Contrib'!F$110)*F31/(24*'Input'!$F$58)*100</f>
        <v>0</v>
      </c>
      <c r="G63" s="6">
        <f>'Yard'!G$11*$B$44*'LAFs'!$I$34/'LAFs'!G$75*(1-'Contrib'!G$110)*G31/(24*'Input'!$F$58)*100</f>
        <v>0</v>
      </c>
      <c r="H63" s="6">
        <f>'Yard'!H$11*$B$44*'LAFs'!$I$34/'LAFs'!H$75*(1-'Contrib'!H$110)*H31/(24*'Input'!$F$58)*100</f>
        <v>0</v>
      </c>
      <c r="I63" s="6">
        <f>'Yard'!I$11*$B$44*'LAFs'!$I$34/'LAFs'!I$75*(1-'Contrib'!I$110)*I31/(24*'Input'!$F$58)*100</f>
        <v>0</v>
      </c>
      <c r="J63" s="6">
        <f>'Yard'!J$11*$B$44*'LAFs'!$I$34/'LAFs'!J$75*(1-'Contrib'!J$110)*J31/(24*'Input'!$F$58)*100</f>
        <v>0</v>
      </c>
      <c r="K63" s="6">
        <f>'Yard'!K$11*$B$44*'LAFs'!$I$34/'LAFs'!B$75*(1-'Contrib'!K$110)*B31/(24*'Input'!$F$58)*100</f>
        <v>0</v>
      </c>
      <c r="L63" s="6">
        <f>'Yard'!L$11*$B$44*'LAFs'!$I$34/'LAFs'!C$75*(1-'Contrib'!L$110)*C31/(24*'Input'!$F$58)*100</f>
        <v>0</v>
      </c>
      <c r="M63" s="6">
        <f>'Yard'!M$11*$B$44*'LAFs'!$I$34/'LAFs'!D$75*(1-'Contrib'!M$110)*D31/(24*'Input'!$F$58)*100</f>
        <v>0</v>
      </c>
      <c r="N63" s="6">
        <f>'Yard'!N$11*$B$44*'LAFs'!$I$34/'LAFs'!E$75*(1-'Contrib'!N$110)*E31/(24*'Input'!$F$58)*100</f>
        <v>0</v>
      </c>
      <c r="O63" s="6">
        <f>'Yard'!O$11*$B$44*'LAFs'!$I$34/'LAFs'!F$75*(1-'Contrib'!O$110)*F31/(24*'Input'!$F$58)*100</f>
        <v>0</v>
      </c>
      <c r="P63" s="6">
        <f>'Yard'!P$11*$B$44*'LAFs'!$I$34/'LAFs'!G$75*(1-'Contrib'!P$110)*G31/(24*'Input'!$F$58)*100</f>
        <v>0</v>
      </c>
      <c r="Q63" s="6">
        <f>'Yard'!Q$11*$B$44*'LAFs'!$I$34/'LAFs'!H$75*(1-'Contrib'!Q$110)*H31/(24*'Input'!$F$58)*100</f>
        <v>0</v>
      </c>
      <c r="R63" s="6">
        <f>'Yard'!R$11*$B$44*'LAFs'!$I$34/'LAFs'!I$75*(1-'Contrib'!R$110)*I31/(24*'Input'!$F$58)*100</f>
        <v>0</v>
      </c>
      <c r="S63" s="6">
        <f>'Yard'!S$11*$B$44*'LAFs'!$I$34/'LAFs'!J$75*(1-'Contrib'!S$110)*J31/(24*'Input'!$F$58)*100</f>
        <v>0</v>
      </c>
      <c r="T63" s="10"/>
    </row>
    <row r="64" spans="1:20">
      <c r="A64" s="11" t="s">
        <v>184</v>
      </c>
      <c r="B64" s="6">
        <f>'Yard'!B$11*$B$45*'LAFs'!$I$35/'LAFs'!B$75*(1-'Contrib'!B$111)*B32/(24*'Input'!$F$58)*100</f>
        <v>0</v>
      </c>
      <c r="C64" s="6">
        <f>'Yard'!C$11*$B$45*'LAFs'!$I$35/'LAFs'!C$75*(1-'Contrib'!C$111)*C32/(24*'Input'!$F$58)*100</f>
        <v>0</v>
      </c>
      <c r="D64" s="6">
        <f>'Yard'!D$11*$B$45*'LAFs'!$I$35/'LAFs'!D$75*(1-'Contrib'!D$111)*D32/(24*'Input'!$F$58)*100</f>
        <v>0</v>
      </c>
      <c r="E64" s="6">
        <f>'Yard'!E$11*$B$45*'LAFs'!$I$35/'LAFs'!E$75*(1-'Contrib'!E$111)*E32/(24*'Input'!$F$58)*100</f>
        <v>0</v>
      </c>
      <c r="F64" s="6">
        <f>'Yard'!F$11*$B$45*'LAFs'!$I$35/'LAFs'!F$75*(1-'Contrib'!F$111)*F32/(24*'Input'!$F$58)*100</f>
        <v>0</v>
      </c>
      <c r="G64" s="6">
        <f>'Yard'!G$11*$B$45*'LAFs'!$I$35/'LAFs'!G$75*(1-'Contrib'!G$111)*G32/(24*'Input'!$F$58)*100</f>
        <v>0</v>
      </c>
      <c r="H64" s="6">
        <f>'Yard'!H$11*$B$45*'LAFs'!$I$35/'LAFs'!H$75*(1-'Contrib'!H$111)*H32/(24*'Input'!$F$58)*100</f>
        <v>0</v>
      </c>
      <c r="I64" s="6">
        <f>'Yard'!I$11*$B$45*'LAFs'!$I$35/'LAFs'!I$75*(1-'Contrib'!I$111)*I32/(24*'Input'!$F$58)*100</f>
        <v>0</v>
      </c>
      <c r="J64" s="6">
        <f>'Yard'!J$11*$B$45*'LAFs'!$I$35/'LAFs'!J$75*(1-'Contrib'!J$111)*J32/(24*'Input'!$F$58)*100</f>
        <v>0</v>
      </c>
      <c r="K64" s="6">
        <f>'Yard'!K$11*$B$45*'LAFs'!$I$35/'LAFs'!B$75*(1-'Contrib'!K$111)*B32/(24*'Input'!$F$58)*100</f>
        <v>0</v>
      </c>
      <c r="L64" s="6">
        <f>'Yard'!L$11*$B$45*'LAFs'!$I$35/'LAFs'!C$75*(1-'Contrib'!L$111)*C32/(24*'Input'!$F$58)*100</f>
        <v>0</v>
      </c>
      <c r="M64" s="6">
        <f>'Yard'!M$11*$B$45*'LAFs'!$I$35/'LAFs'!D$75*(1-'Contrib'!M$111)*D32/(24*'Input'!$F$58)*100</f>
        <v>0</v>
      </c>
      <c r="N64" s="6">
        <f>'Yard'!N$11*$B$45*'LAFs'!$I$35/'LAFs'!E$75*(1-'Contrib'!N$111)*E32/(24*'Input'!$F$58)*100</f>
        <v>0</v>
      </c>
      <c r="O64" s="6">
        <f>'Yard'!O$11*$B$45*'LAFs'!$I$35/'LAFs'!F$75*(1-'Contrib'!O$111)*F32/(24*'Input'!$F$58)*100</f>
        <v>0</v>
      </c>
      <c r="P64" s="6">
        <f>'Yard'!P$11*$B$45*'LAFs'!$I$35/'LAFs'!G$75*(1-'Contrib'!P$111)*G32/(24*'Input'!$F$58)*100</f>
        <v>0</v>
      </c>
      <c r="Q64" s="6">
        <f>'Yard'!Q$11*$B$45*'LAFs'!$I$35/'LAFs'!H$75*(1-'Contrib'!Q$111)*H32/(24*'Input'!$F$58)*100</f>
        <v>0</v>
      </c>
      <c r="R64" s="6">
        <f>'Yard'!R$11*$B$45*'LAFs'!$I$35/'LAFs'!I$75*(1-'Contrib'!R$111)*I32/(24*'Input'!$F$58)*100</f>
        <v>0</v>
      </c>
      <c r="S64" s="6">
        <f>'Yard'!S$11*$B$45*'LAFs'!$I$35/'LAFs'!J$75*(1-'Contrib'!S$111)*J32/(24*'Input'!$F$58)*100</f>
        <v>0</v>
      </c>
      <c r="T64" s="10"/>
    </row>
    <row r="65" spans="1:20">
      <c r="A65" s="11" t="s">
        <v>185</v>
      </c>
      <c r="B65" s="6">
        <f>'Yard'!B$11*$B$46*'LAFs'!$I$36/'LAFs'!B$75*(1-'Contrib'!B$112)*B33/(24*'Input'!$F$58)*100</f>
        <v>0</v>
      </c>
      <c r="C65" s="6">
        <f>'Yard'!C$11*$B$46*'LAFs'!$I$36/'LAFs'!C$75*(1-'Contrib'!C$112)*C33/(24*'Input'!$F$58)*100</f>
        <v>0</v>
      </c>
      <c r="D65" s="6">
        <f>'Yard'!D$11*$B$46*'LAFs'!$I$36/'LAFs'!D$75*(1-'Contrib'!D$112)*D33/(24*'Input'!$F$58)*100</f>
        <v>0</v>
      </c>
      <c r="E65" s="6">
        <f>'Yard'!E$11*$B$46*'LAFs'!$I$36/'LAFs'!E$75*(1-'Contrib'!E$112)*E33/(24*'Input'!$F$58)*100</f>
        <v>0</v>
      </c>
      <c r="F65" s="6">
        <f>'Yard'!F$11*$B$46*'LAFs'!$I$36/'LAFs'!F$75*(1-'Contrib'!F$112)*F33/(24*'Input'!$F$58)*100</f>
        <v>0</v>
      </c>
      <c r="G65" s="6">
        <f>'Yard'!G$11*$B$46*'LAFs'!$I$36/'LAFs'!G$75*(1-'Contrib'!G$112)*G33/(24*'Input'!$F$58)*100</f>
        <v>0</v>
      </c>
      <c r="H65" s="6">
        <f>'Yard'!H$11*$B$46*'LAFs'!$I$36/'LAFs'!H$75*(1-'Contrib'!H$112)*H33/(24*'Input'!$F$58)*100</f>
        <v>0</v>
      </c>
      <c r="I65" s="6">
        <f>'Yard'!I$11*$B$46*'LAFs'!$I$36/'LAFs'!I$75*(1-'Contrib'!I$112)*I33/(24*'Input'!$F$58)*100</f>
        <v>0</v>
      </c>
      <c r="J65" s="6">
        <f>'Yard'!J$11*$B$46*'LAFs'!$I$36/'LAFs'!J$75*(1-'Contrib'!J$112)*J33/(24*'Input'!$F$58)*100</f>
        <v>0</v>
      </c>
      <c r="K65" s="6">
        <f>'Yard'!K$11*$B$46*'LAFs'!$I$36/'LAFs'!B$75*(1-'Contrib'!K$112)*B33/(24*'Input'!$F$58)*100</f>
        <v>0</v>
      </c>
      <c r="L65" s="6">
        <f>'Yard'!L$11*$B$46*'LAFs'!$I$36/'LAFs'!C$75*(1-'Contrib'!L$112)*C33/(24*'Input'!$F$58)*100</f>
        <v>0</v>
      </c>
      <c r="M65" s="6">
        <f>'Yard'!M$11*$B$46*'LAFs'!$I$36/'LAFs'!D$75*(1-'Contrib'!M$112)*D33/(24*'Input'!$F$58)*100</f>
        <v>0</v>
      </c>
      <c r="N65" s="6">
        <f>'Yard'!N$11*$B$46*'LAFs'!$I$36/'LAFs'!E$75*(1-'Contrib'!N$112)*E33/(24*'Input'!$F$58)*100</f>
        <v>0</v>
      </c>
      <c r="O65" s="6">
        <f>'Yard'!O$11*$B$46*'LAFs'!$I$36/'LAFs'!F$75*(1-'Contrib'!O$112)*F33/(24*'Input'!$F$58)*100</f>
        <v>0</v>
      </c>
      <c r="P65" s="6">
        <f>'Yard'!P$11*$B$46*'LAFs'!$I$36/'LAFs'!G$75*(1-'Contrib'!P$112)*G33/(24*'Input'!$F$58)*100</f>
        <v>0</v>
      </c>
      <c r="Q65" s="6">
        <f>'Yard'!Q$11*$B$46*'LAFs'!$I$36/'LAFs'!H$75*(1-'Contrib'!Q$112)*H33/(24*'Input'!$F$58)*100</f>
        <v>0</v>
      </c>
      <c r="R65" s="6">
        <f>'Yard'!R$11*$B$46*'LAFs'!$I$36/'LAFs'!I$75*(1-'Contrib'!R$112)*I33/(24*'Input'!$F$58)*100</f>
        <v>0</v>
      </c>
      <c r="S65" s="6">
        <f>'Yard'!S$11*$B$46*'LAFs'!$I$36/'LAFs'!J$75*(1-'Contrib'!S$112)*J33/(24*'Input'!$F$58)*100</f>
        <v>0</v>
      </c>
      <c r="T65" s="10"/>
    </row>
    <row r="66" spans="1:20">
      <c r="A66" s="11" t="s">
        <v>193</v>
      </c>
      <c r="B66" s="6">
        <f>'Yard'!B$11*$B$47*'LAFs'!$I$37/'LAFs'!B$75*(1-'Contrib'!B$113)*B34/(24*'Input'!$F$58)*100</f>
        <v>0</v>
      </c>
      <c r="C66" s="6">
        <f>'Yard'!C$11*$B$47*'LAFs'!$I$37/'LAFs'!C$75*(1-'Contrib'!C$113)*C34/(24*'Input'!$F$58)*100</f>
        <v>0</v>
      </c>
      <c r="D66" s="6">
        <f>'Yard'!D$11*$B$47*'LAFs'!$I$37/'LAFs'!D$75*(1-'Contrib'!D$113)*D34/(24*'Input'!$F$58)*100</f>
        <v>0</v>
      </c>
      <c r="E66" s="6">
        <f>'Yard'!E$11*$B$47*'LAFs'!$I$37/'LAFs'!E$75*(1-'Contrib'!E$113)*E34/(24*'Input'!$F$58)*100</f>
        <v>0</v>
      </c>
      <c r="F66" s="6">
        <f>'Yard'!F$11*$B$47*'LAFs'!$I$37/'LAFs'!F$75*(1-'Contrib'!F$113)*F34/(24*'Input'!$F$58)*100</f>
        <v>0</v>
      </c>
      <c r="G66" s="6">
        <f>'Yard'!G$11*$B$47*'LAFs'!$I$37/'LAFs'!G$75*(1-'Contrib'!G$113)*G34/(24*'Input'!$F$58)*100</f>
        <v>0</v>
      </c>
      <c r="H66" s="6">
        <f>'Yard'!H$11*$B$47*'LAFs'!$I$37/'LAFs'!H$75*(1-'Contrib'!H$113)*H34/(24*'Input'!$F$58)*100</f>
        <v>0</v>
      </c>
      <c r="I66" s="6">
        <f>'Yard'!I$11*$B$47*'LAFs'!$I$37/'LAFs'!I$75*(1-'Contrib'!I$113)*I34/(24*'Input'!$F$58)*100</f>
        <v>0</v>
      </c>
      <c r="J66" s="6">
        <f>'Yard'!J$11*$B$47*'LAFs'!$I$37/'LAFs'!J$75*(1-'Contrib'!J$113)*J34/(24*'Input'!$F$58)*100</f>
        <v>0</v>
      </c>
      <c r="K66" s="6">
        <f>'Yard'!K$11*$B$47*'LAFs'!$I$37/'LAFs'!B$75*(1-'Contrib'!K$113)*B34/(24*'Input'!$F$58)*100</f>
        <v>0</v>
      </c>
      <c r="L66" s="6">
        <f>'Yard'!L$11*$B$47*'LAFs'!$I$37/'LAFs'!C$75*(1-'Contrib'!L$113)*C34/(24*'Input'!$F$58)*100</f>
        <v>0</v>
      </c>
      <c r="M66" s="6">
        <f>'Yard'!M$11*$B$47*'LAFs'!$I$37/'LAFs'!D$75*(1-'Contrib'!M$113)*D34/(24*'Input'!$F$58)*100</f>
        <v>0</v>
      </c>
      <c r="N66" s="6">
        <f>'Yard'!N$11*$B$47*'LAFs'!$I$37/'LAFs'!E$75*(1-'Contrib'!N$113)*E34/(24*'Input'!$F$58)*100</f>
        <v>0</v>
      </c>
      <c r="O66" s="6">
        <f>'Yard'!O$11*$B$47*'LAFs'!$I$37/'LAFs'!F$75*(1-'Contrib'!O$113)*F34/(24*'Input'!$F$58)*100</f>
        <v>0</v>
      </c>
      <c r="P66" s="6">
        <f>'Yard'!P$11*$B$47*'LAFs'!$I$37/'LAFs'!G$75*(1-'Contrib'!P$113)*G34/(24*'Input'!$F$58)*100</f>
        <v>0</v>
      </c>
      <c r="Q66" s="6">
        <f>'Yard'!Q$11*$B$47*'LAFs'!$I$37/'LAFs'!H$75*(1-'Contrib'!Q$113)*H34/(24*'Input'!$F$58)*100</f>
        <v>0</v>
      </c>
      <c r="R66" s="6">
        <f>'Yard'!R$11*$B$47*'LAFs'!$I$37/'LAFs'!I$75*(1-'Contrib'!R$113)*I34/(24*'Input'!$F$58)*100</f>
        <v>0</v>
      </c>
      <c r="S66" s="6">
        <f>'Yard'!S$11*$B$47*'LAFs'!$I$37/'LAFs'!J$75*(1-'Contrib'!S$113)*J34/(24*'Input'!$F$58)*100</f>
        <v>0</v>
      </c>
      <c r="T66" s="10"/>
    </row>
    <row r="67" spans="1:20">
      <c r="A67" s="11" t="s">
        <v>194</v>
      </c>
      <c r="B67" s="6">
        <f>'Yard'!B$11*$B$48*'LAFs'!$I$38/'LAFs'!B$75*(1-'Contrib'!B$114)*B35/(24*'Input'!$F$58)*100</f>
        <v>0</v>
      </c>
      <c r="C67" s="6">
        <f>'Yard'!C$11*$B$48*'LAFs'!$I$38/'LAFs'!C$75*(1-'Contrib'!C$114)*C35/(24*'Input'!$F$58)*100</f>
        <v>0</v>
      </c>
      <c r="D67" s="6">
        <f>'Yard'!D$11*$B$48*'LAFs'!$I$38/'LAFs'!D$75*(1-'Contrib'!D$114)*D35/(24*'Input'!$F$58)*100</f>
        <v>0</v>
      </c>
      <c r="E67" s="6">
        <f>'Yard'!E$11*$B$48*'LAFs'!$I$38/'LAFs'!E$75*(1-'Contrib'!E$114)*E35/(24*'Input'!$F$58)*100</f>
        <v>0</v>
      </c>
      <c r="F67" s="6">
        <f>'Yard'!F$11*$B$48*'LAFs'!$I$38/'LAFs'!F$75*(1-'Contrib'!F$114)*F35/(24*'Input'!$F$58)*100</f>
        <v>0</v>
      </c>
      <c r="G67" s="6">
        <f>'Yard'!G$11*$B$48*'LAFs'!$I$38/'LAFs'!G$75*(1-'Contrib'!G$114)*G35/(24*'Input'!$F$58)*100</f>
        <v>0</v>
      </c>
      <c r="H67" s="6">
        <f>'Yard'!H$11*$B$48*'LAFs'!$I$38/'LAFs'!H$75*(1-'Contrib'!H$114)*H35/(24*'Input'!$F$58)*100</f>
        <v>0</v>
      </c>
      <c r="I67" s="6">
        <f>'Yard'!I$11*$B$48*'LAFs'!$I$38/'LAFs'!I$75*(1-'Contrib'!I$114)*I35/(24*'Input'!$F$58)*100</f>
        <v>0</v>
      </c>
      <c r="J67" s="6">
        <f>'Yard'!J$11*$B$48*'LAFs'!$I$38/'LAFs'!J$75*(1-'Contrib'!J$114)*J35/(24*'Input'!$F$58)*100</f>
        <v>0</v>
      </c>
      <c r="K67" s="6">
        <f>'Yard'!K$11*$B$48*'LAFs'!$I$38/'LAFs'!B$75*(1-'Contrib'!K$114)*B35/(24*'Input'!$F$58)*100</f>
        <v>0</v>
      </c>
      <c r="L67" s="6">
        <f>'Yard'!L$11*$B$48*'LAFs'!$I$38/'LAFs'!C$75*(1-'Contrib'!L$114)*C35/(24*'Input'!$F$58)*100</f>
        <v>0</v>
      </c>
      <c r="M67" s="6">
        <f>'Yard'!M$11*$B$48*'LAFs'!$I$38/'LAFs'!D$75*(1-'Contrib'!M$114)*D35/(24*'Input'!$F$58)*100</f>
        <v>0</v>
      </c>
      <c r="N67" s="6">
        <f>'Yard'!N$11*$B$48*'LAFs'!$I$38/'LAFs'!E$75*(1-'Contrib'!N$114)*E35/(24*'Input'!$F$58)*100</f>
        <v>0</v>
      </c>
      <c r="O67" s="6">
        <f>'Yard'!O$11*$B$48*'LAFs'!$I$38/'LAFs'!F$75*(1-'Contrib'!O$114)*F35/(24*'Input'!$F$58)*100</f>
        <v>0</v>
      </c>
      <c r="P67" s="6">
        <f>'Yard'!P$11*$B$48*'LAFs'!$I$38/'LAFs'!G$75*(1-'Contrib'!P$114)*G35/(24*'Input'!$F$58)*100</f>
        <v>0</v>
      </c>
      <c r="Q67" s="6">
        <f>'Yard'!Q$11*$B$48*'LAFs'!$I$38/'LAFs'!H$75*(1-'Contrib'!Q$114)*H35/(24*'Input'!$F$58)*100</f>
        <v>0</v>
      </c>
      <c r="R67" s="6">
        <f>'Yard'!R$11*$B$48*'LAFs'!$I$38/'LAFs'!I$75*(1-'Contrib'!R$114)*I35/(24*'Input'!$F$58)*100</f>
        <v>0</v>
      </c>
      <c r="S67" s="6">
        <f>'Yard'!S$11*$B$48*'LAFs'!$I$38/'LAFs'!J$75*(1-'Contrib'!S$114)*J35/(24*'Input'!$F$58)*100</f>
        <v>0</v>
      </c>
      <c r="T67" s="10"/>
    </row>
    <row r="69" spans="1:20">
      <c r="A69" s="1" t="s">
        <v>1000</v>
      </c>
    </row>
    <row r="70" spans="1:20">
      <c r="A70" s="2" t="s">
        <v>349</v>
      </c>
    </row>
    <row r="71" spans="1:20">
      <c r="A71" s="12" t="s">
        <v>1001</v>
      </c>
    </row>
    <row r="72" spans="1:20">
      <c r="A72" s="12" t="s">
        <v>985</v>
      </c>
    </row>
    <row r="73" spans="1:20">
      <c r="A73" s="12" t="s">
        <v>943</v>
      </c>
    </row>
    <row r="74" spans="1:20">
      <c r="A74" s="2" t="s">
        <v>986</v>
      </c>
    </row>
    <row r="76" spans="1:20">
      <c r="B76" s="3" t="s">
        <v>140</v>
      </c>
      <c r="C76" s="3" t="s">
        <v>304</v>
      </c>
      <c r="D76" s="3" t="s">
        <v>305</v>
      </c>
      <c r="E76" s="3" t="s">
        <v>306</v>
      </c>
      <c r="F76" s="3" t="s">
        <v>307</v>
      </c>
      <c r="G76" s="3" t="s">
        <v>308</v>
      </c>
      <c r="H76" s="3" t="s">
        <v>309</v>
      </c>
      <c r="I76" s="3" t="s">
        <v>310</v>
      </c>
      <c r="J76" s="3" t="s">
        <v>311</v>
      </c>
      <c r="K76" s="3" t="s">
        <v>292</v>
      </c>
      <c r="L76" s="3" t="s">
        <v>810</v>
      </c>
      <c r="M76" s="3" t="s">
        <v>811</v>
      </c>
      <c r="N76" s="3" t="s">
        <v>812</v>
      </c>
      <c r="O76" s="3" t="s">
        <v>813</v>
      </c>
      <c r="P76" s="3" t="s">
        <v>814</v>
      </c>
      <c r="Q76" s="3" t="s">
        <v>815</v>
      </c>
      <c r="R76" s="3" t="s">
        <v>816</v>
      </c>
      <c r="S76" s="3" t="s">
        <v>817</v>
      </c>
    </row>
    <row r="77" spans="1:20">
      <c r="A77" s="11" t="s">
        <v>182</v>
      </c>
      <c r="B77" s="6">
        <f>B62*'Input'!B$356*'Input'!$E$58</f>
        <v>0</v>
      </c>
      <c r="C77" s="6">
        <f>C62*'Input'!C$356*'Input'!$E$58</f>
        <v>0</v>
      </c>
      <c r="D77" s="6">
        <f>D62*'Input'!D$356*'Input'!$E$58</f>
        <v>0</v>
      </c>
      <c r="E77" s="6">
        <f>E62*'Input'!E$356*'Input'!$E$58</f>
        <v>0</v>
      </c>
      <c r="F77" s="6">
        <f>F62*'Input'!F$356*'Input'!$E$58</f>
        <v>0</v>
      </c>
      <c r="G77" s="6">
        <f>G62*'Input'!G$356*'Input'!$E$58</f>
        <v>0</v>
      </c>
      <c r="H77" s="6">
        <f>H62*'Input'!H$356*'Input'!$E$58</f>
        <v>0</v>
      </c>
      <c r="I77" s="6">
        <f>I62*'Input'!I$356*'Input'!$E$58</f>
        <v>0</v>
      </c>
      <c r="J77" s="6">
        <f>J62*'Input'!J$356*'Input'!$E$58</f>
        <v>0</v>
      </c>
      <c r="K77" s="6">
        <f>K62*'Input'!B$356*'Input'!$E$58</f>
        <v>0</v>
      </c>
      <c r="L77" s="6">
        <f>L62*'Input'!C$356*'Input'!$E$58</f>
        <v>0</v>
      </c>
      <c r="M77" s="6">
        <f>M62*'Input'!D$356*'Input'!$E$58</f>
        <v>0</v>
      </c>
      <c r="N77" s="6">
        <f>N62*'Input'!E$356*'Input'!$E$58</f>
        <v>0</v>
      </c>
      <c r="O77" s="6">
        <f>O62*'Input'!F$356*'Input'!$E$58</f>
        <v>0</v>
      </c>
      <c r="P77" s="6">
        <f>P62*'Input'!G$356*'Input'!$E$58</f>
        <v>0</v>
      </c>
      <c r="Q77" s="6">
        <f>Q62*'Input'!H$356*'Input'!$E$58</f>
        <v>0</v>
      </c>
      <c r="R77" s="6">
        <f>R62*'Input'!I$356*'Input'!$E$58</f>
        <v>0</v>
      </c>
      <c r="S77" s="6">
        <f>S62*'Input'!J$356*'Input'!$E$58</f>
        <v>0</v>
      </c>
      <c r="T77" s="10"/>
    </row>
    <row r="78" spans="1:20">
      <c r="A78" s="11" t="s">
        <v>183</v>
      </c>
      <c r="B78" s="6">
        <f>B63*'Input'!B$356*'Input'!$E$58</f>
        <v>0</v>
      </c>
      <c r="C78" s="6">
        <f>C63*'Input'!C$356*'Input'!$E$58</f>
        <v>0</v>
      </c>
      <c r="D78" s="6">
        <f>D63*'Input'!D$356*'Input'!$E$58</f>
        <v>0</v>
      </c>
      <c r="E78" s="6">
        <f>E63*'Input'!E$356*'Input'!$E$58</f>
        <v>0</v>
      </c>
      <c r="F78" s="6">
        <f>F63*'Input'!F$356*'Input'!$E$58</f>
        <v>0</v>
      </c>
      <c r="G78" s="6">
        <f>G63*'Input'!G$356*'Input'!$E$58</f>
        <v>0</v>
      </c>
      <c r="H78" s="6">
        <f>H63*'Input'!H$356*'Input'!$E$58</f>
        <v>0</v>
      </c>
      <c r="I78" s="6">
        <f>I63*'Input'!I$356*'Input'!$E$58</f>
        <v>0</v>
      </c>
      <c r="J78" s="6">
        <f>J63*'Input'!J$356*'Input'!$E$58</f>
        <v>0</v>
      </c>
      <c r="K78" s="6">
        <f>K63*'Input'!B$356*'Input'!$E$58</f>
        <v>0</v>
      </c>
      <c r="L78" s="6">
        <f>L63*'Input'!C$356*'Input'!$E$58</f>
        <v>0</v>
      </c>
      <c r="M78" s="6">
        <f>M63*'Input'!D$356*'Input'!$E$58</f>
        <v>0</v>
      </c>
      <c r="N78" s="6">
        <f>N63*'Input'!E$356*'Input'!$E$58</f>
        <v>0</v>
      </c>
      <c r="O78" s="6">
        <f>O63*'Input'!F$356*'Input'!$E$58</f>
        <v>0</v>
      </c>
      <c r="P78" s="6">
        <f>P63*'Input'!G$356*'Input'!$E$58</f>
        <v>0</v>
      </c>
      <c r="Q78" s="6">
        <f>Q63*'Input'!H$356*'Input'!$E$58</f>
        <v>0</v>
      </c>
      <c r="R78" s="6">
        <f>R63*'Input'!I$356*'Input'!$E$58</f>
        <v>0</v>
      </c>
      <c r="S78" s="6">
        <f>S63*'Input'!J$356*'Input'!$E$58</f>
        <v>0</v>
      </c>
      <c r="T78" s="10"/>
    </row>
    <row r="79" spans="1:20">
      <c r="A79" s="11" t="s">
        <v>184</v>
      </c>
      <c r="B79" s="6">
        <f>B64*'Input'!B$356*'Input'!$E$58</f>
        <v>0</v>
      </c>
      <c r="C79" s="6">
        <f>C64*'Input'!C$356*'Input'!$E$58</f>
        <v>0</v>
      </c>
      <c r="D79" s="6">
        <f>D64*'Input'!D$356*'Input'!$E$58</f>
        <v>0</v>
      </c>
      <c r="E79" s="6">
        <f>E64*'Input'!E$356*'Input'!$E$58</f>
        <v>0</v>
      </c>
      <c r="F79" s="6">
        <f>F64*'Input'!F$356*'Input'!$E$58</f>
        <v>0</v>
      </c>
      <c r="G79" s="6">
        <f>G64*'Input'!G$356*'Input'!$E$58</f>
        <v>0</v>
      </c>
      <c r="H79" s="6">
        <f>H64*'Input'!H$356*'Input'!$E$58</f>
        <v>0</v>
      </c>
      <c r="I79" s="6">
        <f>I64*'Input'!I$356*'Input'!$E$58</f>
        <v>0</v>
      </c>
      <c r="J79" s="6">
        <f>J64*'Input'!J$356*'Input'!$E$58</f>
        <v>0</v>
      </c>
      <c r="K79" s="6">
        <f>K64*'Input'!B$356*'Input'!$E$58</f>
        <v>0</v>
      </c>
      <c r="L79" s="6">
        <f>L64*'Input'!C$356*'Input'!$E$58</f>
        <v>0</v>
      </c>
      <c r="M79" s="6">
        <f>M64*'Input'!D$356*'Input'!$E$58</f>
        <v>0</v>
      </c>
      <c r="N79" s="6">
        <f>N64*'Input'!E$356*'Input'!$E$58</f>
        <v>0</v>
      </c>
      <c r="O79" s="6">
        <f>O64*'Input'!F$356*'Input'!$E$58</f>
        <v>0</v>
      </c>
      <c r="P79" s="6">
        <f>P64*'Input'!G$356*'Input'!$E$58</f>
        <v>0</v>
      </c>
      <c r="Q79" s="6">
        <f>Q64*'Input'!H$356*'Input'!$E$58</f>
        <v>0</v>
      </c>
      <c r="R79" s="6">
        <f>R64*'Input'!I$356*'Input'!$E$58</f>
        <v>0</v>
      </c>
      <c r="S79" s="6">
        <f>S64*'Input'!J$356*'Input'!$E$58</f>
        <v>0</v>
      </c>
      <c r="T79" s="10"/>
    </row>
    <row r="80" spans="1:20">
      <c r="A80" s="11" t="s">
        <v>185</v>
      </c>
      <c r="B80" s="6">
        <f>B65*'Input'!B$356*'Input'!$E$58</f>
        <v>0</v>
      </c>
      <c r="C80" s="6">
        <f>C65*'Input'!C$356*'Input'!$E$58</f>
        <v>0</v>
      </c>
      <c r="D80" s="6">
        <f>D65*'Input'!D$356*'Input'!$E$58</f>
        <v>0</v>
      </c>
      <c r="E80" s="6">
        <f>E65*'Input'!E$356*'Input'!$E$58</f>
        <v>0</v>
      </c>
      <c r="F80" s="6">
        <f>F65*'Input'!F$356*'Input'!$E$58</f>
        <v>0</v>
      </c>
      <c r="G80" s="6">
        <f>G65*'Input'!G$356*'Input'!$E$58</f>
        <v>0</v>
      </c>
      <c r="H80" s="6">
        <f>H65*'Input'!H$356*'Input'!$E$58</f>
        <v>0</v>
      </c>
      <c r="I80" s="6">
        <f>I65*'Input'!I$356*'Input'!$E$58</f>
        <v>0</v>
      </c>
      <c r="J80" s="6">
        <f>J65*'Input'!J$356*'Input'!$E$58</f>
        <v>0</v>
      </c>
      <c r="K80" s="6">
        <f>K65*'Input'!B$356*'Input'!$E$58</f>
        <v>0</v>
      </c>
      <c r="L80" s="6">
        <f>L65*'Input'!C$356*'Input'!$E$58</f>
        <v>0</v>
      </c>
      <c r="M80" s="6">
        <f>M65*'Input'!D$356*'Input'!$E$58</f>
        <v>0</v>
      </c>
      <c r="N80" s="6">
        <f>N65*'Input'!E$356*'Input'!$E$58</f>
        <v>0</v>
      </c>
      <c r="O80" s="6">
        <f>O65*'Input'!F$356*'Input'!$E$58</f>
        <v>0</v>
      </c>
      <c r="P80" s="6">
        <f>P65*'Input'!G$356*'Input'!$E$58</f>
        <v>0</v>
      </c>
      <c r="Q80" s="6">
        <f>Q65*'Input'!H$356*'Input'!$E$58</f>
        <v>0</v>
      </c>
      <c r="R80" s="6">
        <f>R65*'Input'!I$356*'Input'!$E$58</f>
        <v>0</v>
      </c>
      <c r="S80" s="6">
        <f>S65*'Input'!J$356*'Input'!$E$58</f>
        <v>0</v>
      </c>
      <c r="T80" s="10"/>
    </row>
    <row r="81" spans="1:20">
      <c r="A81" s="11" t="s">
        <v>193</v>
      </c>
      <c r="B81" s="6">
        <f>B66*'Input'!B$356*'Input'!$E$58</f>
        <v>0</v>
      </c>
      <c r="C81" s="6">
        <f>C66*'Input'!C$356*'Input'!$E$58</f>
        <v>0</v>
      </c>
      <c r="D81" s="6">
        <f>D66*'Input'!D$356*'Input'!$E$58</f>
        <v>0</v>
      </c>
      <c r="E81" s="6">
        <f>E66*'Input'!E$356*'Input'!$E$58</f>
        <v>0</v>
      </c>
      <c r="F81" s="6">
        <f>F66*'Input'!F$356*'Input'!$E$58</f>
        <v>0</v>
      </c>
      <c r="G81" s="6">
        <f>G66*'Input'!G$356*'Input'!$E$58</f>
        <v>0</v>
      </c>
      <c r="H81" s="6">
        <f>H66*'Input'!H$356*'Input'!$E$58</f>
        <v>0</v>
      </c>
      <c r="I81" s="6">
        <f>I66*'Input'!I$356*'Input'!$E$58</f>
        <v>0</v>
      </c>
      <c r="J81" s="6">
        <f>J66*'Input'!J$356*'Input'!$E$58</f>
        <v>0</v>
      </c>
      <c r="K81" s="6">
        <f>K66*'Input'!B$356*'Input'!$E$58</f>
        <v>0</v>
      </c>
      <c r="L81" s="6">
        <f>L66*'Input'!C$356*'Input'!$E$58</f>
        <v>0</v>
      </c>
      <c r="M81" s="6">
        <f>M66*'Input'!D$356*'Input'!$E$58</f>
        <v>0</v>
      </c>
      <c r="N81" s="6">
        <f>N66*'Input'!E$356*'Input'!$E$58</f>
        <v>0</v>
      </c>
      <c r="O81" s="6">
        <f>O66*'Input'!F$356*'Input'!$E$58</f>
        <v>0</v>
      </c>
      <c r="P81" s="6">
        <f>P66*'Input'!G$356*'Input'!$E$58</f>
        <v>0</v>
      </c>
      <c r="Q81" s="6">
        <f>Q66*'Input'!H$356*'Input'!$E$58</f>
        <v>0</v>
      </c>
      <c r="R81" s="6">
        <f>R66*'Input'!I$356*'Input'!$E$58</f>
        <v>0</v>
      </c>
      <c r="S81" s="6">
        <f>S66*'Input'!J$356*'Input'!$E$58</f>
        <v>0</v>
      </c>
      <c r="T81" s="10"/>
    </row>
    <row r="82" spans="1:20">
      <c r="A82" s="11" t="s">
        <v>194</v>
      </c>
      <c r="B82" s="6">
        <f>B67*'Input'!B$356*'Input'!$E$58</f>
        <v>0</v>
      </c>
      <c r="C82" s="6">
        <f>C67*'Input'!C$356*'Input'!$E$58</f>
        <v>0</v>
      </c>
      <c r="D82" s="6">
        <f>D67*'Input'!D$356*'Input'!$E$58</f>
        <v>0</v>
      </c>
      <c r="E82" s="6">
        <f>E67*'Input'!E$356*'Input'!$E$58</f>
        <v>0</v>
      </c>
      <c r="F82" s="6">
        <f>F67*'Input'!F$356*'Input'!$E$58</f>
        <v>0</v>
      </c>
      <c r="G82" s="6">
        <f>G67*'Input'!G$356*'Input'!$E$58</f>
        <v>0</v>
      </c>
      <c r="H82" s="6">
        <f>H67*'Input'!H$356*'Input'!$E$58</f>
        <v>0</v>
      </c>
      <c r="I82" s="6">
        <f>I67*'Input'!I$356*'Input'!$E$58</f>
        <v>0</v>
      </c>
      <c r="J82" s="6">
        <f>J67*'Input'!J$356*'Input'!$E$58</f>
        <v>0</v>
      </c>
      <c r="K82" s="6">
        <f>K67*'Input'!B$356*'Input'!$E$58</f>
        <v>0</v>
      </c>
      <c r="L82" s="6">
        <f>L67*'Input'!C$356*'Input'!$E$58</f>
        <v>0</v>
      </c>
      <c r="M82" s="6">
        <f>M67*'Input'!D$356*'Input'!$E$58</f>
        <v>0</v>
      </c>
      <c r="N82" s="6">
        <f>N67*'Input'!E$356*'Input'!$E$58</f>
        <v>0</v>
      </c>
      <c r="O82" s="6">
        <f>O67*'Input'!F$356*'Input'!$E$58</f>
        <v>0</v>
      </c>
      <c r="P82" s="6">
        <f>P67*'Input'!G$356*'Input'!$E$58</f>
        <v>0</v>
      </c>
      <c r="Q82" s="6">
        <f>Q67*'Input'!H$356*'Input'!$E$58</f>
        <v>0</v>
      </c>
      <c r="R82" s="6">
        <f>R67*'Input'!I$356*'Input'!$E$58</f>
        <v>0</v>
      </c>
      <c r="S82" s="6">
        <f>S67*'Input'!J$356*'Input'!$E$58</f>
        <v>0</v>
      </c>
      <c r="T82" s="10"/>
    </row>
  </sheetData>
  <sheetProtection sheet="1" objects="1" scenarios="1"/>
  <hyperlinks>
    <hyperlink ref="A5" location="'Standing'!B49" display="x1 = 3003. Yardstick components p/kWh (taking account of standing charges)"/>
    <hyperlink ref="A15" location="'Reactive'!B8" display="x1 = 3201. Standard components p/kWh for reactive power (absolute value)"/>
    <hyperlink ref="A16" location="'Input'!B355" display="x2 = 1092. Average kVAr by kVA, by network level"/>
    <hyperlink ref="A17" location="'Input'!E57" display="x3 = 1010. Power factor for all flows in the network model (in Financial and general assumptions)"/>
    <hyperlink ref="A39" location="'Loads'!B43" display="x1 = 2302. Load coefficient"/>
    <hyperlink ref="A52" location="'Yard'!B10" display="x1 = 2901. Unit cost at each level, £/kW/year (relative to system simultaneous maximum load)"/>
    <hyperlink ref="A53" location="'Reactive'!B42" display="x2 = 3204. Absolute value of load coefficient (kW peak / average kW)"/>
    <hyperlink ref="A54" location="'LAFs'!I13" display="x3 = 2001. Loss adjustment factor to transmission (in Loss adjustment factors to transmission)"/>
    <hyperlink ref="A55" location="'LAFs'!B74" display="x4 = 2004. Loss adjustment factor to transmission for each network level"/>
    <hyperlink ref="A56" location="'Contrib'!B89" display="x5 = 2804. Proportion of annual charge covered by contributions (for all charging levels)"/>
    <hyperlink ref="A57" location="'Reactive'!B29" display="x6 = 3203. Network use factors for generator reactive unit charges"/>
    <hyperlink ref="A58" location="'Input'!F57" display="x7 = 1010. Days in the charging year (in Financial and general assumptions)"/>
    <hyperlink ref="A71" location="'Reactive'!B61" display="x1 = 3205. Pay-as-you-go components p/kWh for reactive power (absolute value)"/>
    <hyperlink ref="A72" location="'Input'!B355" display="x2 = 1092. Average kVAr by kVA, by network level"/>
    <hyperlink ref="A73" location="'Input'!E57" display="x3 = 1010. Power factor for all flows in the network model (in Financial and general assumptions)"/>
  </hyperlinks>
  <pageMargins left="0.7" right="0.7" top="0.75" bottom="0.75" header="0.3" footer="0.3"/>
  <pageSetup fitToHeight="0" orientation="landscape"/>
  <headerFooter>
    <oddHeader>&amp;L&amp;A&amp;Cr6432&amp;R&amp;P of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5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4">
      <c r="A1" s="1">
        <f>"Aggregation"&amp;" for "&amp;'Input'!B7&amp;" in "&amp;'Input'!C7&amp;" ("&amp;'Input'!D7&amp;")"</f>
        <v>0</v>
      </c>
    </row>
    <row r="2" spans="1:24">
      <c r="A2" s="2" t="s">
        <v>1002</v>
      </c>
    </row>
    <row r="4" spans="1:24">
      <c r="A4" s="1" t="s">
        <v>1003</v>
      </c>
    </row>
    <row r="5" spans="1:24">
      <c r="A5" s="2" t="s">
        <v>349</v>
      </c>
    </row>
    <row r="6" spans="1:24">
      <c r="A6" s="12" t="s">
        <v>1004</v>
      </c>
    </row>
    <row r="7" spans="1:24">
      <c r="A7" s="12" t="s">
        <v>1005</v>
      </c>
    </row>
    <row r="8" spans="1:24">
      <c r="A8" s="12" t="s">
        <v>1006</v>
      </c>
    </row>
    <row r="9" spans="1:24">
      <c r="A9" s="12" t="s">
        <v>1007</v>
      </c>
    </row>
    <row r="10" spans="1:24">
      <c r="A10" s="12" t="s">
        <v>1008</v>
      </c>
    </row>
    <row r="11" spans="1:24">
      <c r="A11" s="12" t="s">
        <v>1009</v>
      </c>
    </row>
    <row r="12" spans="1:24">
      <c r="A12" s="12" t="s">
        <v>1010</v>
      </c>
    </row>
    <row r="13" spans="1:24">
      <c r="A13" s="2" t="s">
        <v>1011</v>
      </c>
    </row>
    <row r="15" spans="1:24">
      <c r="B15" s="3" t="s">
        <v>140</v>
      </c>
      <c r="C15" s="3" t="s">
        <v>304</v>
      </c>
      <c r="D15" s="3" t="s">
        <v>305</v>
      </c>
      <c r="E15" s="3" t="s">
        <v>306</v>
      </c>
      <c r="F15" s="3" t="s">
        <v>307</v>
      </c>
      <c r="G15" s="3" t="s">
        <v>308</v>
      </c>
      <c r="H15" s="3" t="s">
        <v>309</v>
      </c>
      <c r="I15" s="3" t="s">
        <v>310</v>
      </c>
      <c r="J15" s="3" t="s">
        <v>311</v>
      </c>
      <c r="K15" s="3" t="s">
        <v>461</v>
      </c>
      <c r="L15" s="3" t="s">
        <v>473</v>
      </c>
      <c r="M15" s="3" t="s">
        <v>292</v>
      </c>
      <c r="N15" s="3" t="s">
        <v>810</v>
      </c>
      <c r="O15" s="3" t="s">
        <v>811</v>
      </c>
      <c r="P15" s="3" t="s">
        <v>812</v>
      </c>
      <c r="Q15" s="3" t="s">
        <v>813</v>
      </c>
      <c r="R15" s="3" t="s">
        <v>814</v>
      </c>
      <c r="S15" s="3" t="s">
        <v>815</v>
      </c>
      <c r="T15" s="3" t="s">
        <v>816</v>
      </c>
      <c r="U15" s="3" t="s">
        <v>817</v>
      </c>
      <c r="V15" s="3" t="s">
        <v>818</v>
      </c>
      <c r="W15" s="3" t="s">
        <v>819</v>
      </c>
    </row>
    <row r="16" spans="1:24">
      <c r="A16" s="11" t="s">
        <v>172</v>
      </c>
      <c r="B16" s="7">
        <f>'Standing'!$B$50</f>
        <v>0</v>
      </c>
      <c r="C16" s="7">
        <f>'Standing'!$C$50</f>
        <v>0</v>
      </c>
      <c r="D16" s="7">
        <f>'Standing'!$D$50</f>
        <v>0</v>
      </c>
      <c r="E16" s="7">
        <f>'Standing'!$E$50</f>
        <v>0</v>
      </c>
      <c r="F16" s="7">
        <f>'Standing'!$F$50</f>
        <v>0</v>
      </c>
      <c r="G16" s="7">
        <f>'Standing'!$G$50</f>
        <v>0</v>
      </c>
      <c r="H16" s="7">
        <f>'Standing'!$H$50</f>
        <v>0</v>
      </c>
      <c r="I16" s="7">
        <f>'Standing'!$I$50</f>
        <v>0</v>
      </c>
      <c r="J16" s="7">
        <f>'Standing'!$J$50</f>
        <v>0</v>
      </c>
      <c r="K16" s="9"/>
      <c r="L16" s="9"/>
      <c r="M16" s="7">
        <f>'Standing'!$K$50</f>
        <v>0</v>
      </c>
      <c r="N16" s="7">
        <f>'Standing'!$L$50</f>
        <v>0</v>
      </c>
      <c r="O16" s="7">
        <f>'Standing'!$M$50</f>
        <v>0</v>
      </c>
      <c r="P16" s="7">
        <f>'Standing'!$N$50</f>
        <v>0</v>
      </c>
      <c r="Q16" s="7">
        <f>'Standing'!$O$50</f>
        <v>0</v>
      </c>
      <c r="R16" s="7">
        <f>'Standing'!$P$50</f>
        <v>0</v>
      </c>
      <c r="S16" s="7">
        <f>'Standing'!$Q$50</f>
        <v>0</v>
      </c>
      <c r="T16" s="7">
        <f>'Standing'!$R$50</f>
        <v>0</v>
      </c>
      <c r="U16" s="7">
        <f>'Standing'!$S$50</f>
        <v>0</v>
      </c>
      <c r="V16" s="9"/>
      <c r="W16" s="9"/>
      <c r="X16" s="10"/>
    </row>
    <row r="17" spans="1:24">
      <c r="A17" s="11" t="s">
        <v>173</v>
      </c>
      <c r="B17" s="7">
        <f>'Standing'!$B$75</f>
        <v>0</v>
      </c>
      <c r="C17" s="7">
        <f>'Standing'!$C$75</f>
        <v>0</v>
      </c>
      <c r="D17" s="7">
        <f>'Standing'!$D$75</f>
        <v>0</v>
      </c>
      <c r="E17" s="7">
        <f>'Standing'!$E$75</f>
        <v>0</v>
      </c>
      <c r="F17" s="7">
        <f>'Standing'!$F$75</f>
        <v>0</v>
      </c>
      <c r="G17" s="7">
        <f>'Standing'!$G$75</f>
        <v>0</v>
      </c>
      <c r="H17" s="7">
        <f>'Standing'!$H$75</f>
        <v>0</v>
      </c>
      <c r="I17" s="7">
        <f>'Standing'!$I$75</f>
        <v>0</v>
      </c>
      <c r="J17" s="7">
        <f>'Standing'!$J$75</f>
        <v>0</v>
      </c>
      <c r="K17" s="9"/>
      <c r="L17" s="9"/>
      <c r="M17" s="7">
        <f>'Standing'!$K$75</f>
        <v>0</v>
      </c>
      <c r="N17" s="7">
        <f>'Standing'!$L$75</f>
        <v>0</v>
      </c>
      <c r="O17" s="7">
        <f>'Standing'!$M$75</f>
        <v>0</v>
      </c>
      <c r="P17" s="7">
        <f>'Standing'!$N$75</f>
        <v>0</v>
      </c>
      <c r="Q17" s="7">
        <f>'Standing'!$O$75</f>
        <v>0</v>
      </c>
      <c r="R17" s="7">
        <f>'Standing'!$P$75</f>
        <v>0</v>
      </c>
      <c r="S17" s="7">
        <f>'Standing'!$Q$75</f>
        <v>0</v>
      </c>
      <c r="T17" s="7">
        <f>'Standing'!$R$75</f>
        <v>0</v>
      </c>
      <c r="U17" s="7">
        <f>'Standing'!$S$75</f>
        <v>0</v>
      </c>
      <c r="V17" s="9"/>
      <c r="W17" s="9"/>
      <c r="X17" s="10"/>
    </row>
    <row r="18" spans="1:24">
      <c r="A18" s="11" t="s">
        <v>210</v>
      </c>
      <c r="B18" s="7">
        <f>'Standing'!$B$76</f>
        <v>0</v>
      </c>
      <c r="C18" s="7">
        <f>'Standing'!$C$76</f>
        <v>0</v>
      </c>
      <c r="D18" s="7">
        <f>'Standing'!$D$76</f>
        <v>0</v>
      </c>
      <c r="E18" s="7">
        <f>'Standing'!$E$76</f>
        <v>0</v>
      </c>
      <c r="F18" s="7">
        <f>'Standing'!$F$76</f>
        <v>0</v>
      </c>
      <c r="G18" s="7">
        <f>'Standing'!$G$76</f>
        <v>0</v>
      </c>
      <c r="H18" s="7">
        <f>'Standing'!$H$76</f>
        <v>0</v>
      </c>
      <c r="I18" s="7">
        <f>'Standing'!$I$76</f>
        <v>0</v>
      </c>
      <c r="J18" s="7">
        <f>'Standing'!$J$76</f>
        <v>0</v>
      </c>
      <c r="K18" s="9"/>
      <c r="L18" s="9"/>
      <c r="M18" s="7">
        <f>'Standing'!$K$76</f>
        <v>0</v>
      </c>
      <c r="N18" s="7">
        <f>'Standing'!$L$76</f>
        <v>0</v>
      </c>
      <c r="O18" s="7">
        <f>'Standing'!$M$76</f>
        <v>0</v>
      </c>
      <c r="P18" s="7">
        <f>'Standing'!$N$76</f>
        <v>0</v>
      </c>
      <c r="Q18" s="7">
        <f>'Standing'!$O$76</f>
        <v>0</v>
      </c>
      <c r="R18" s="7">
        <f>'Standing'!$P$76</f>
        <v>0</v>
      </c>
      <c r="S18" s="7">
        <f>'Standing'!$Q$76</f>
        <v>0</v>
      </c>
      <c r="T18" s="7">
        <f>'Standing'!$R$76</f>
        <v>0</v>
      </c>
      <c r="U18" s="7">
        <f>'Standing'!$S$76</f>
        <v>0</v>
      </c>
      <c r="V18" s="9"/>
      <c r="W18" s="9"/>
      <c r="X18" s="10"/>
    </row>
    <row r="19" spans="1:24">
      <c r="A19" s="11" t="s">
        <v>174</v>
      </c>
      <c r="B19" s="7">
        <f>'Standing'!$B$53</f>
        <v>0</v>
      </c>
      <c r="C19" s="7">
        <f>'Standing'!$C$53</f>
        <v>0</v>
      </c>
      <c r="D19" s="7">
        <f>'Standing'!$D$53</f>
        <v>0</v>
      </c>
      <c r="E19" s="7">
        <f>'Standing'!$E$53</f>
        <v>0</v>
      </c>
      <c r="F19" s="7">
        <f>'Standing'!$F$53</f>
        <v>0</v>
      </c>
      <c r="G19" s="7">
        <f>'Standing'!$G$53</f>
        <v>0</v>
      </c>
      <c r="H19" s="7">
        <f>'Standing'!$H$53</f>
        <v>0</v>
      </c>
      <c r="I19" s="7">
        <f>'Standing'!$I$53</f>
        <v>0</v>
      </c>
      <c r="J19" s="7">
        <f>'Standing'!$J$53</f>
        <v>0</v>
      </c>
      <c r="K19" s="9"/>
      <c r="L19" s="9"/>
      <c r="M19" s="7">
        <f>'Standing'!$K$53</f>
        <v>0</v>
      </c>
      <c r="N19" s="7">
        <f>'Standing'!$L$53</f>
        <v>0</v>
      </c>
      <c r="O19" s="7">
        <f>'Standing'!$M$53</f>
        <v>0</v>
      </c>
      <c r="P19" s="7">
        <f>'Standing'!$N$53</f>
        <v>0</v>
      </c>
      <c r="Q19" s="7">
        <f>'Standing'!$O$53</f>
        <v>0</v>
      </c>
      <c r="R19" s="7">
        <f>'Standing'!$P$53</f>
        <v>0</v>
      </c>
      <c r="S19" s="7">
        <f>'Standing'!$Q$53</f>
        <v>0</v>
      </c>
      <c r="T19" s="7">
        <f>'Standing'!$R$53</f>
        <v>0</v>
      </c>
      <c r="U19" s="7">
        <f>'Standing'!$S$53</f>
        <v>0</v>
      </c>
      <c r="V19" s="9"/>
      <c r="W19" s="9"/>
      <c r="X19" s="10"/>
    </row>
    <row r="20" spans="1:24">
      <c r="A20" s="11" t="s">
        <v>175</v>
      </c>
      <c r="B20" s="7">
        <f>'Standing'!$B$77</f>
        <v>0</v>
      </c>
      <c r="C20" s="7">
        <f>'Standing'!$C$77</f>
        <v>0</v>
      </c>
      <c r="D20" s="7">
        <f>'Standing'!$D$77</f>
        <v>0</v>
      </c>
      <c r="E20" s="7">
        <f>'Standing'!$E$77</f>
        <v>0</v>
      </c>
      <c r="F20" s="7">
        <f>'Standing'!$F$77</f>
        <v>0</v>
      </c>
      <c r="G20" s="7">
        <f>'Standing'!$G$77</f>
        <v>0</v>
      </c>
      <c r="H20" s="7">
        <f>'Standing'!$H$77</f>
        <v>0</v>
      </c>
      <c r="I20" s="7">
        <f>'Standing'!$I$77</f>
        <v>0</v>
      </c>
      <c r="J20" s="7">
        <f>'Standing'!$J$77</f>
        <v>0</v>
      </c>
      <c r="K20" s="9"/>
      <c r="L20" s="9"/>
      <c r="M20" s="7">
        <f>'Standing'!$K$77</f>
        <v>0</v>
      </c>
      <c r="N20" s="7">
        <f>'Standing'!$L$77</f>
        <v>0</v>
      </c>
      <c r="O20" s="7">
        <f>'Standing'!$M$77</f>
        <v>0</v>
      </c>
      <c r="P20" s="7">
        <f>'Standing'!$N$77</f>
        <v>0</v>
      </c>
      <c r="Q20" s="7">
        <f>'Standing'!$O$77</f>
        <v>0</v>
      </c>
      <c r="R20" s="7">
        <f>'Standing'!$P$77</f>
        <v>0</v>
      </c>
      <c r="S20" s="7">
        <f>'Standing'!$Q$77</f>
        <v>0</v>
      </c>
      <c r="T20" s="7">
        <f>'Standing'!$R$77</f>
        <v>0</v>
      </c>
      <c r="U20" s="7">
        <f>'Standing'!$S$77</f>
        <v>0</v>
      </c>
      <c r="V20" s="9"/>
      <c r="W20" s="9"/>
      <c r="X20" s="10"/>
    </row>
    <row r="21" spans="1:24">
      <c r="A21" s="11" t="s">
        <v>211</v>
      </c>
      <c r="B21" s="7">
        <f>'Standing'!$B$78</f>
        <v>0</v>
      </c>
      <c r="C21" s="7">
        <f>'Standing'!$C$78</f>
        <v>0</v>
      </c>
      <c r="D21" s="7">
        <f>'Standing'!$D$78</f>
        <v>0</v>
      </c>
      <c r="E21" s="7">
        <f>'Standing'!$E$78</f>
        <v>0</v>
      </c>
      <c r="F21" s="7">
        <f>'Standing'!$F$78</f>
        <v>0</v>
      </c>
      <c r="G21" s="7">
        <f>'Standing'!$G$78</f>
        <v>0</v>
      </c>
      <c r="H21" s="7">
        <f>'Standing'!$H$78</f>
        <v>0</v>
      </c>
      <c r="I21" s="7">
        <f>'Standing'!$I$78</f>
        <v>0</v>
      </c>
      <c r="J21" s="7">
        <f>'Standing'!$J$78</f>
        <v>0</v>
      </c>
      <c r="K21" s="9"/>
      <c r="L21" s="9"/>
      <c r="M21" s="7">
        <f>'Standing'!$K$78</f>
        <v>0</v>
      </c>
      <c r="N21" s="7">
        <f>'Standing'!$L$78</f>
        <v>0</v>
      </c>
      <c r="O21" s="7">
        <f>'Standing'!$M$78</f>
        <v>0</v>
      </c>
      <c r="P21" s="7">
        <f>'Standing'!$N$78</f>
        <v>0</v>
      </c>
      <c r="Q21" s="7">
        <f>'Standing'!$O$78</f>
        <v>0</v>
      </c>
      <c r="R21" s="7">
        <f>'Standing'!$P$78</f>
        <v>0</v>
      </c>
      <c r="S21" s="7">
        <f>'Standing'!$Q$78</f>
        <v>0</v>
      </c>
      <c r="T21" s="7">
        <f>'Standing'!$R$78</f>
        <v>0</v>
      </c>
      <c r="U21" s="7">
        <f>'Standing'!$S$78</f>
        <v>0</v>
      </c>
      <c r="V21" s="9"/>
      <c r="W21" s="9"/>
      <c r="X21" s="10"/>
    </row>
    <row r="22" spans="1:24">
      <c r="A22" s="11" t="s">
        <v>176</v>
      </c>
      <c r="B22" s="7">
        <f>'Standing'!$B$79</f>
        <v>0</v>
      </c>
      <c r="C22" s="7">
        <f>'Standing'!$C$79</f>
        <v>0</v>
      </c>
      <c r="D22" s="7">
        <f>'Standing'!$D$79</f>
        <v>0</v>
      </c>
      <c r="E22" s="7">
        <f>'Standing'!$E$79</f>
        <v>0</v>
      </c>
      <c r="F22" s="7">
        <f>'Standing'!$F$79</f>
        <v>0</v>
      </c>
      <c r="G22" s="7">
        <f>'Standing'!$G$79</f>
        <v>0</v>
      </c>
      <c r="H22" s="7">
        <f>'Standing'!$H$79</f>
        <v>0</v>
      </c>
      <c r="I22" s="7">
        <f>'Standing'!$I$79</f>
        <v>0</v>
      </c>
      <c r="J22" s="7">
        <f>'Standing'!$J$79</f>
        <v>0</v>
      </c>
      <c r="K22" s="9"/>
      <c r="L22" s="9"/>
      <c r="M22" s="7">
        <f>'Standing'!$K$79</f>
        <v>0</v>
      </c>
      <c r="N22" s="7">
        <f>'Standing'!$L$79</f>
        <v>0</v>
      </c>
      <c r="O22" s="7">
        <f>'Standing'!$M$79</f>
        <v>0</v>
      </c>
      <c r="P22" s="7">
        <f>'Standing'!$N$79</f>
        <v>0</v>
      </c>
      <c r="Q22" s="7">
        <f>'Standing'!$O$79</f>
        <v>0</v>
      </c>
      <c r="R22" s="7">
        <f>'Standing'!$P$79</f>
        <v>0</v>
      </c>
      <c r="S22" s="7">
        <f>'Standing'!$Q$79</f>
        <v>0</v>
      </c>
      <c r="T22" s="7">
        <f>'Standing'!$R$79</f>
        <v>0</v>
      </c>
      <c r="U22" s="7">
        <f>'Standing'!$S$79</f>
        <v>0</v>
      </c>
      <c r="V22" s="9"/>
      <c r="W22" s="9"/>
      <c r="X22" s="10"/>
    </row>
    <row r="23" spans="1:24">
      <c r="A23" s="11" t="s">
        <v>177</v>
      </c>
      <c r="B23" s="7">
        <f>'Standing'!$B$80</f>
        <v>0</v>
      </c>
      <c r="C23" s="7">
        <f>'Standing'!$C$80</f>
        <v>0</v>
      </c>
      <c r="D23" s="7">
        <f>'Standing'!$D$80</f>
        <v>0</v>
      </c>
      <c r="E23" s="7">
        <f>'Standing'!$E$80</f>
        <v>0</v>
      </c>
      <c r="F23" s="7">
        <f>'Standing'!$F$80</f>
        <v>0</v>
      </c>
      <c r="G23" s="7">
        <f>'Standing'!$G$80</f>
        <v>0</v>
      </c>
      <c r="H23" s="7">
        <f>'Standing'!$H$80</f>
        <v>0</v>
      </c>
      <c r="I23" s="7">
        <f>'Standing'!$I$80</f>
        <v>0</v>
      </c>
      <c r="J23" s="7">
        <f>'Standing'!$J$80</f>
        <v>0</v>
      </c>
      <c r="K23" s="9"/>
      <c r="L23" s="9"/>
      <c r="M23" s="7">
        <f>'Standing'!$K$80</f>
        <v>0</v>
      </c>
      <c r="N23" s="7">
        <f>'Standing'!$L$80</f>
        <v>0</v>
      </c>
      <c r="O23" s="7">
        <f>'Standing'!$M$80</f>
        <v>0</v>
      </c>
      <c r="P23" s="7">
        <f>'Standing'!$N$80</f>
        <v>0</v>
      </c>
      <c r="Q23" s="7">
        <f>'Standing'!$O$80</f>
        <v>0</v>
      </c>
      <c r="R23" s="7">
        <f>'Standing'!$P$80</f>
        <v>0</v>
      </c>
      <c r="S23" s="7">
        <f>'Standing'!$Q$80</f>
        <v>0</v>
      </c>
      <c r="T23" s="7">
        <f>'Standing'!$R$80</f>
        <v>0</v>
      </c>
      <c r="U23" s="7">
        <f>'Standing'!$S$80</f>
        <v>0</v>
      </c>
      <c r="V23" s="9"/>
      <c r="W23" s="9"/>
      <c r="X23" s="10"/>
    </row>
    <row r="24" spans="1:24">
      <c r="A24" s="11" t="s">
        <v>191</v>
      </c>
      <c r="B24" s="7">
        <f>'Standing'!$B$81</f>
        <v>0</v>
      </c>
      <c r="C24" s="7">
        <f>'Standing'!$C$81</f>
        <v>0</v>
      </c>
      <c r="D24" s="7">
        <f>'Standing'!$D$81</f>
        <v>0</v>
      </c>
      <c r="E24" s="7">
        <f>'Standing'!$E$81</f>
        <v>0</v>
      </c>
      <c r="F24" s="7">
        <f>'Standing'!$F$81</f>
        <v>0</v>
      </c>
      <c r="G24" s="7">
        <f>'Standing'!$G$81</f>
        <v>0</v>
      </c>
      <c r="H24" s="7">
        <f>'Standing'!$H$81</f>
        <v>0</v>
      </c>
      <c r="I24" s="7">
        <f>'Standing'!$I$81</f>
        <v>0</v>
      </c>
      <c r="J24" s="7">
        <f>'Standing'!$J$81</f>
        <v>0</v>
      </c>
      <c r="K24" s="9"/>
      <c r="L24" s="9"/>
      <c r="M24" s="7">
        <f>'Standing'!$K$81</f>
        <v>0</v>
      </c>
      <c r="N24" s="7">
        <f>'Standing'!$L$81</f>
        <v>0</v>
      </c>
      <c r="O24" s="7">
        <f>'Standing'!$M$81</f>
        <v>0</v>
      </c>
      <c r="P24" s="7">
        <f>'Standing'!$N$81</f>
        <v>0</v>
      </c>
      <c r="Q24" s="7">
        <f>'Standing'!$O$81</f>
        <v>0</v>
      </c>
      <c r="R24" s="7">
        <f>'Standing'!$P$81</f>
        <v>0</v>
      </c>
      <c r="S24" s="7">
        <f>'Standing'!$Q$81</f>
        <v>0</v>
      </c>
      <c r="T24" s="7">
        <f>'Standing'!$R$81</f>
        <v>0</v>
      </c>
      <c r="U24" s="7">
        <f>'Standing'!$S$81</f>
        <v>0</v>
      </c>
      <c r="V24" s="9"/>
      <c r="W24" s="9"/>
      <c r="X24" s="10"/>
    </row>
    <row r="25" spans="1:24">
      <c r="A25" s="11" t="s">
        <v>178</v>
      </c>
      <c r="B25" s="7">
        <f>'Standing'!$B$82</f>
        <v>0</v>
      </c>
      <c r="C25" s="7">
        <f>'Standing'!$C$82</f>
        <v>0</v>
      </c>
      <c r="D25" s="7">
        <f>'Standing'!$D$82</f>
        <v>0</v>
      </c>
      <c r="E25" s="7">
        <f>'Standing'!$E$82</f>
        <v>0</v>
      </c>
      <c r="F25" s="7">
        <f>'Standing'!$F$82</f>
        <v>0</v>
      </c>
      <c r="G25" s="7">
        <f>'Standing'!$G$82</f>
        <v>0</v>
      </c>
      <c r="H25" s="7">
        <f>'Standing'!$H$82</f>
        <v>0</v>
      </c>
      <c r="I25" s="7">
        <f>'Standing'!$I$82</f>
        <v>0</v>
      </c>
      <c r="J25" s="7">
        <f>'Standing'!$J$82</f>
        <v>0</v>
      </c>
      <c r="K25" s="9"/>
      <c r="L25" s="9"/>
      <c r="M25" s="7">
        <f>'Standing'!$K$82</f>
        <v>0</v>
      </c>
      <c r="N25" s="7">
        <f>'Standing'!$L$82</f>
        <v>0</v>
      </c>
      <c r="O25" s="7">
        <f>'Standing'!$M$82</f>
        <v>0</v>
      </c>
      <c r="P25" s="7">
        <f>'Standing'!$N$82</f>
        <v>0</v>
      </c>
      <c r="Q25" s="7">
        <f>'Standing'!$O$82</f>
        <v>0</v>
      </c>
      <c r="R25" s="7">
        <f>'Standing'!$P$82</f>
        <v>0</v>
      </c>
      <c r="S25" s="7">
        <f>'Standing'!$Q$82</f>
        <v>0</v>
      </c>
      <c r="T25" s="7">
        <f>'Standing'!$R$82</f>
        <v>0</v>
      </c>
      <c r="U25" s="7">
        <f>'Standing'!$S$82</f>
        <v>0</v>
      </c>
      <c r="V25" s="9"/>
      <c r="W25" s="9"/>
      <c r="X25" s="10"/>
    </row>
    <row r="26" spans="1:24">
      <c r="A26" s="11" t="s">
        <v>179</v>
      </c>
      <c r="B26" s="7">
        <f>'Standing'!$B$83</f>
        <v>0</v>
      </c>
      <c r="C26" s="7">
        <f>'Standing'!$C$83</f>
        <v>0</v>
      </c>
      <c r="D26" s="7">
        <f>'Standing'!$D$83</f>
        <v>0</v>
      </c>
      <c r="E26" s="7">
        <f>'Standing'!$E$83</f>
        <v>0</v>
      </c>
      <c r="F26" s="7">
        <f>'Standing'!$F$83</f>
        <v>0</v>
      </c>
      <c r="G26" s="7">
        <f>'Standing'!$G$83</f>
        <v>0</v>
      </c>
      <c r="H26" s="7">
        <f>'Standing'!$H$83</f>
        <v>0</v>
      </c>
      <c r="I26" s="7">
        <f>'Standing'!$I$83</f>
        <v>0</v>
      </c>
      <c r="J26" s="7">
        <f>'Standing'!$J$83</f>
        <v>0</v>
      </c>
      <c r="K26" s="9"/>
      <c r="L26" s="9"/>
      <c r="M26" s="7">
        <f>'Standing'!$K$83</f>
        <v>0</v>
      </c>
      <c r="N26" s="7">
        <f>'Standing'!$L$83</f>
        <v>0</v>
      </c>
      <c r="O26" s="7">
        <f>'Standing'!$M$83</f>
        <v>0</v>
      </c>
      <c r="P26" s="7">
        <f>'Standing'!$N$83</f>
        <v>0</v>
      </c>
      <c r="Q26" s="7">
        <f>'Standing'!$O$83</f>
        <v>0</v>
      </c>
      <c r="R26" s="7">
        <f>'Standing'!$P$83</f>
        <v>0</v>
      </c>
      <c r="S26" s="7">
        <f>'Standing'!$Q$83</f>
        <v>0</v>
      </c>
      <c r="T26" s="7">
        <f>'Standing'!$R$83</f>
        <v>0</v>
      </c>
      <c r="U26" s="7">
        <f>'Standing'!$S$83</f>
        <v>0</v>
      </c>
      <c r="V26" s="9"/>
      <c r="W26" s="9"/>
      <c r="X26" s="10"/>
    </row>
    <row r="27" spans="1:24">
      <c r="A27" s="11" t="s">
        <v>192</v>
      </c>
      <c r="B27" s="7">
        <f>'Standing'!$B$84</f>
        <v>0</v>
      </c>
      <c r="C27" s="7">
        <f>'Standing'!$C$84</f>
        <v>0</v>
      </c>
      <c r="D27" s="7">
        <f>'Standing'!$D$84</f>
        <v>0</v>
      </c>
      <c r="E27" s="7">
        <f>'Standing'!$E$84</f>
        <v>0</v>
      </c>
      <c r="F27" s="7">
        <f>'Standing'!$F$84</f>
        <v>0</v>
      </c>
      <c r="G27" s="7">
        <f>'Standing'!$G$84</f>
        <v>0</v>
      </c>
      <c r="H27" s="7">
        <f>'Standing'!$H$84</f>
        <v>0</v>
      </c>
      <c r="I27" s="7">
        <f>'Standing'!$I$84</f>
        <v>0</v>
      </c>
      <c r="J27" s="7">
        <f>'Standing'!$J$84</f>
        <v>0</v>
      </c>
      <c r="K27" s="9"/>
      <c r="L27" s="9"/>
      <c r="M27" s="7">
        <f>'Standing'!$K$84</f>
        <v>0</v>
      </c>
      <c r="N27" s="7">
        <f>'Standing'!$L$84</f>
        <v>0</v>
      </c>
      <c r="O27" s="7">
        <f>'Standing'!$M$84</f>
        <v>0</v>
      </c>
      <c r="P27" s="7">
        <f>'Standing'!$N$84</f>
        <v>0</v>
      </c>
      <c r="Q27" s="7">
        <f>'Standing'!$O$84</f>
        <v>0</v>
      </c>
      <c r="R27" s="7">
        <f>'Standing'!$P$84</f>
        <v>0</v>
      </c>
      <c r="S27" s="7">
        <f>'Standing'!$Q$84</f>
        <v>0</v>
      </c>
      <c r="T27" s="7">
        <f>'Standing'!$R$84</f>
        <v>0</v>
      </c>
      <c r="U27" s="7">
        <f>'Standing'!$S$84</f>
        <v>0</v>
      </c>
      <c r="V27" s="9"/>
      <c r="W27" s="9"/>
      <c r="X27" s="10"/>
    </row>
    <row r="28" spans="1:24">
      <c r="A28" s="11" t="s">
        <v>212</v>
      </c>
      <c r="B28" s="7">
        <f>'Yard'!$B$72</f>
        <v>0</v>
      </c>
      <c r="C28" s="7">
        <f>'Yard'!$C$72</f>
        <v>0</v>
      </c>
      <c r="D28" s="7">
        <f>'Yard'!$D$72</f>
        <v>0</v>
      </c>
      <c r="E28" s="7">
        <f>'Yard'!$E$72</f>
        <v>0</v>
      </c>
      <c r="F28" s="7">
        <f>'Yard'!$F$72</f>
        <v>0</v>
      </c>
      <c r="G28" s="7">
        <f>'Yard'!$G$72</f>
        <v>0</v>
      </c>
      <c r="H28" s="7">
        <f>'Yard'!$H$72</f>
        <v>0</v>
      </c>
      <c r="I28" s="7">
        <f>'Yard'!$I$72</f>
        <v>0</v>
      </c>
      <c r="J28" s="7">
        <f>'Yard'!$J$72</f>
        <v>0</v>
      </c>
      <c r="K28" s="9"/>
      <c r="L28" s="9"/>
      <c r="M28" s="7">
        <f>'Yard'!$K$72</f>
        <v>0</v>
      </c>
      <c r="N28" s="7">
        <f>'Yard'!$L$72</f>
        <v>0</v>
      </c>
      <c r="O28" s="7">
        <f>'Yard'!$M$72</f>
        <v>0</v>
      </c>
      <c r="P28" s="7">
        <f>'Yard'!$N$72</f>
        <v>0</v>
      </c>
      <c r="Q28" s="7">
        <f>'Yard'!$O$72</f>
        <v>0</v>
      </c>
      <c r="R28" s="7">
        <f>'Yard'!$P$72</f>
        <v>0</v>
      </c>
      <c r="S28" s="7">
        <f>'Yard'!$Q$72</f>
        <v>0</v>
      </c>
      <c r="T28" s="7">
        <f>'Yard'!$R$72</f>
        <v>0</v>
      </c>
      <c r="U28" s="7">
        <f>'Yard'!$S$72</f>
        <v>0</v>
      </c>
      <c r="V28" s="7">
        <f>'Otex'!$B$154</f>
        <v>0</v>
      </c>
      <c r="W28" s="9"/>
      <c r="X28" s="10"/>
    </row>
    <row r="29" spans="1:24">
      <c r="A29" s="11" t="s">
        <v>213</v>
      </c>
      <c r="B29" s="7">
        <f>'Yard'!$B$73</f>
        <v>0</v>
      </c>
      <c r="C29" s="7">
        <f>'Yard'!$C$73</f>
        <v>0</v>
      </c>
      <c r="D29" s="7">
        <f>'Yard'!$D$73</f>
        <v>0</v>
      </c>
      <c r="E29" s="7">
        <f>'Yard'!$E$73</f>
        <v>0</v>
      </c>
      <c r="F29" s="7">
        <f>'Yard'!$F$73</f>
        <v>0</v>
      </c>
      <c r="G29" s="7">
        <f>'Yard'!$G$73</f>
        <v>0</v>
      </c>
      <c r="H29" s="7">
        <f>'Yard'!$H$73</f>
        <v>0</v>
      </c>
      <c r="I29" s="7">
        <f>'Yard'!$I$73</f>
        <v>0</v>
      </c>
      <c r="J29" s="7">
        <f>'Yard'!$J$73</f>
        <v>0</v>
      </c>
      <c r="K29" s="9"/>
      <c r="L29" s="9"/>
      <c r="M29" s="7">
        <f>'Yard'!$K$73</f>
        <v>0</v>
      </c>
      <c r="N29" s="7">
        <f>'Yard'!$L$73</f>
        <v>0</v>
      </c>
      <c r="O29" s="7">
        <f>'Yard'!$M$73</f>
        <v>0</v>
      </c>
      <c r="P29" s="7">
        <f>'Yard'!$N$73</f>
        <v>0</v>
      </c>
      <c r="Q29" s="7">
        <f>'Yard'!$O$73</f>
        <v>0</v>
      </c>
      <c r="R29" s="7">
        <f>'Yard'!$P$73</f>
        <v>0</v>
      </c>
      <c r="S29" s="7">
        <f>'Yard'!$Q$73</f>
        <v>0</v>
      </c>
      <c r="T29" s="7">
        <f>'Yard'!$R$73</f>
        <v>0</v>
      </c>
      <c r="U29" s="7">
        <f>'Yard'!$S$73</f>
        <v>0</v>
      </c>
      <c r="V29" s="7">
        <f>'Otex'!$B$155</f>
        <v>0</v>
      </c>
      <c r="W29" s="9"/>
      <c r="X29" s="10"/>
    </row>
    <row r="30" spans="1:24">
      <c r="A30" s="11" t="s">
        <v>214</v>
      </c>
      <c r="B30" s="7">
        <f>'Yard'!$B$74</f>
        <v>0</v>
      </c>
      <c r="C30" s="7">
        <f>'Yard'!$C$74</f>
        <v>0</v>
      </c>
      <c r="D30" s="7">
        <f>'Yard'!$D$74</f>
        <v>0</v>
      </c>
      <c r="E30" s="7">
        <f>'Yard'!$E$74</f>
        <v>0</v>
      </c>
      <c r="F30" s="7">
        <f>'Yard'!$F$74</f>
        <v>0</v>
      </c>
      <c r="G30" s="7">
        <f>'Yard'!$G$74</f>
        <v>0</v>
      </c>
      <c r="H30" s="7">
        <f>'Yard'!$H$74</f>
        <v>0</v>
      </c>
      <c r="I30" s="7">
        <f>'Yard'!$I$74</f>
        <v>0</v>
      </c>
      <c r="J30" s="7">
        <f>'Yard'!$J$74</f>
        <v>0</v>
      </c>
      <c r="K30" s="9"/>
      <c r="L30" s="9"/>
      <c r="M30" s="7">
        <f>'Yard'!$K$74</f>
        <v>0</v>
      </c>
      <c r="N30" s="7">
        <f>'Yard'!$L$74</f>
        <v>0</v>
      </c>
      <c r="O30" s="7">
        <f>'Yard'!$M$74</f>
        <v>0</v>
      </c>
      <c r="P30" s="7">
        <f>'Yard'!$N$74</f>
        <v>0</v>
      </c>
      <c r="Q30" s="7">
        <f>'Yard'!$O$74</f>
        <v>0</v>
      </c>
      <c r="R30" s="7">
        <f>'Yard'!$P$74</f>
        <v>0</v>
      </c>
      <c r="S30" s="7">
        <f>'Yard'!$Q$74</f>
        <v>0</v>
      </c>
      <c r="T30" s="7">
        <f>'Yard'!$R$74</f>
        <v>0</v>
      </c>
      <c r="U30" s="7">
        <f>'Yard'!$S$74</f>
        <v>0</v>
      </c>
      <c r="V30" s="7">
        <f>'Otex'!$B$156</f>
        <v>0</v>
      </c>
      <c r="W30" s="9"/>
      <c r="X30" s="10"/>
    </row>
    <row r="31" spans="1:24">
      <c r="A31" s="11" t="s">
        <v>215</v>
      </c>
      <c r="B31" s="7">
        <f>'Yard'!$B$75</f>
        <v>0</v>
      </c>
      <c r="C31" s="7">
        <f>'Yard'!$C$75</f>
        <v>0</v>
      </c>
      <c r="D31" s="7">
        <f>'Yard'!$D$75</f>
        <v>0</v>
      </c>
      <c r="E31" s="7">
        <f>'Yard'!$E$75</f>
        <v>0</v>
      </c>
      <c r="F31" s="7">
        <f>'Yard'!$F$75</f>
        <v>0</v>
      </c>
      <c r="G31" s="7">
        <f>'Yard'!$G$75</f>
        <v>0</v>
      </c>
      <c r="H31" s="7">
        <f>'Yard'!$H$75</f>
        <v>0</v>
      </c>
      <c r="I31" s="7">
        <f>'Yard'!$I$75</f>
        <v>0</v>
      </c>
      <c r="J31" s="7">
        <f>'Yard'!$J$75</f>
        <v>0</v>
      </c>
      <c r="K31" s="9"/>
      <c r="L31" s="9"/>
      <c r="M31" s="7">
        <f>'Yard'!$K$75</f>
        <v>0</v>
      </c>
      <c r="N31" s="7">
        <f>'Yard'!$L$75</f>
        <v>0</v>
      </c>
      <c r="O31" s="7">
        <f>'Yard'!$M$75</f>
        <v>0</v>
      </c>
      <c r="P31" s="7">
        <f>'Yard'!$N$75</f>
        <v>0</v>
      </c>
      <c r="Q31" s="7">
        <f>'Yard'!$O$75</f>
        <v>0</v>
      </c>
      <c r="R31" s="7">
        <f>'Yard'!$P$75</f>
        <v>0</v>
      </c>
      <c r="S31" s="7">
        <f>'Yard'!$Q$75</f>
        <v>0</v>
      </c>
      <c r="T31" s="7">
        <f>'Yard'!$R$75</f>
        <v>0</v>
      </c>
      <c r="U31" s="7">
        <f>'Yard'!$S$75</f>
        <v>0</v>
      </c>
      <c r="V31" s="7">
        <f>'Otex'!$B$157</f>
        <v>0</v>
      </c>
      <c r="W31" s="9"/>
      <c r="X31" s="10"/>
    </row>
    <row r="32" spans="1:24">
      <c r="A32" s="11" t="s">
        <v>216</v>
      </c>
      <c r="B32" s="7">
        <f>'Yard'!$B$76</f>
        <v>0</v>
      </c>
      <c r="C32" s="7">
        <f>'Yard'!$C$76</f>
        <v>0</v>
      </c>
      <c r="D32" s="7">
        <f>'Yard'!$D$76</f>
        <v>0</v>
      </c>
      <c r="E32" s="7">
        <f>'Yard'!$E$76</f>
        <v>0</v>
      </c>
      <c r="F32" s="7">
        <f>'Yard'!$F$76</f>
        <v>0</v>
      </c>
      <c r="G32" s="7">
        <f>'Yard'!$G$76</f>
        <v>0</v>
      </c>
      <c r="H32" s="7">
        <f>'Yard'!$H$76</f>
        <v>0</v>
      </c>
      <c r="I32" s="7">
        <f>'Yard'!$I$76</f>
        <v>0</v>
      </c>
      <c r="J32" s="7">
        <f>'Yard'!$J$76</f>
        <v>0</v>
      </c>
      <c r="K32" s="9"/>
      <c r="L32" s="9"/>
      <c r="M32" s="7">
        <f>'Yard'!$K$76</f>
        <v>0</v>
      </c>
      <c r="N32" s="7">
        <f>'Yard'!$L$76</f>
        <v>0</v>
      </c>
      <c r="O32" s="7">
        <f>'Yard'!$M$76</f>
        <v>0</v>
      </c>
      <c r="P32" s="7">
        <f>'Yard'!$N$76</f>
        <v>0</v>
      </c>
      <c r="Q32" s="7">
        <f>'Yard'!$O$76</f>
        <v>0</v>
      </c>
      <c r="R32" s="7">
        <f>'Yard'!$P$76</f>
        <v>0</v>
      </c>
      <c r="S32" s="7">
        <f>'Yard'!$Q$76</f>
        <v>0</v>
      </c>
      <c r="T32" s="7">
        <f>'Yard'!$R$76</f>
        <v>0</v>
      </c>
      <c r="U32" s="7">
        <f>'Yard'!$S$76</f>
        <v>0</v>
      </c>
      <c r="V32" s="7">
        <f>'Otex'!$B$158</f>
        <v>0</v>
      </c>
      <c r="W32" s="9"/>
      <c r="X32" s="10"/>
    </row>
    <row r="33" spans="1:24">
      <c r="A33" s="11" t="s">
        <v>180</v>
      </c>
      <c r="B33" s="7">
        <f>'Yard'!$B$40</f>
        <v>0</v>
      </c>
      <c r="C33" s="7">
        <f>'Yard'!$C$40</f>
        <v>0</v>
      </c>
      <c r="D33" s="7">
        <f>'Yard'!$D$40</f>
        <v>0</v>
      </c>
      <c r="E33" s="7">
        <f>'Yard'!$E$40</f>
        <v>0</v>
      </c>
      <c r="F33" s="7">
        <f>'Yard'!$F$40</f>
        <v>0</v>
      </c>
      <c r="G33" s="7">
        <f>'Yard'!$G$40</f>
        <v>0</v>
      </c>
      <c r="H33" s="7">
        <f>'Yard'!$H$40</f>
        <v>0</v>
      </c>
      <c r="I33" s="7">
        <f>'Yard'!$I$40</f>
        <v>0</v>
      </c>
      <c r="J33" s="7">
        <f>'Yard'!$J$40</f>
        <v>0</v>
      </c>
      <c r="K33" s="9"/>
      <c r="L33" s="9"/>
      <c r="M33" s="7">
        <f>'Yard'!$K$40</f>
        <v>0</v>
      </c>
      <c r="N33" s="7">
        <f>'Yard'!$L$40</f>
        <v>0</v>
      </c>
      <c r="O33" s="7">
        <f>'Yard'!$M$40</f>
        <v>0</v>
      </c>
      <c r="P33" s="7">
        <f>'Yard'!$N$40</f>
        <v>0</v>
      </c>
      <c r="Q33" s="7">
        <f>'Yard'!$O$40</f>
        <v>0</v>
      </c>
      <c r="R33" s="7">
        <f>'Yard'!$P$40</f>
        <v>0</v>
      </c>
      <c r="S33" s="7">
        <f>'Yard'!$Q$40</f>
        <v>0</v>
      </c>
      <c r="T33" s="7">
        <f>'Yard'!$R$40</f>
        <v>0</v>
      </c>
      <c r="U33" s="7">
        <f>'Yard'!$S$40</f>
        <v>0</v>
      </c>
      <c r="V33" s="9"/>
      <c r="W33" s="9"/>
      <c r="X33" s="10"/>
    </row>
    <row r="34" spans="1:24">
      <c r="A34" s="11" t="s">
        <v>181</v>
      </c>
      <c r="B34" s="7">
        <f>'Yard'!$B$41</f>
        <v>0</v>
      </c>
      <c r="C34" s="7">
        <f>'Yard'!$C$41</f>
        <v>0</v>
      </c>
      <c r="D34" s="7">
        <f>'Yard'!$D$41</f>
        <v>0</v>
      </c>
      <c r="E34" s="7">
        <f>'Yard'!$E$41</f>
        <v>0</v>
      </c>
      <c r="F34" s="7">
        <f>'Yard'!$F$41</f>
        <v>0</v>
      </c>
      <c r="G34" s="7">
        <f>'Yard'!$G$41</f>
        <v>0</v>
      </c>
      <c r="H34" s="7">
        <f>'Yard'!$H$41</f>
        <v>0</v>
      </c>
      <c r="I34" s="7">
        <f>'Yard'!$I$41</f>
        <v>0</v>
      </c>
      <c r="J34" s="7">
        <f>'Yard'!$J$41</f>
        <v>0</v>
      </c>
      <c r="K34" s="9"/>
      <c r="L34" s="9"/>
      <c r="M34" s="7">
        <f>'Yard'!$K$41</f>
        <v>0</v>
      </c>
      <c r="N34" s="7">
        <f>'Yard'!$L$41</f>
        <v>0</v>
      </c>
      <c r="O34" s="7">
        <f>'Yard'!$M$41</f>
        <v>0</v>
      </c>
      <c r="P34" s="7">
        <f>'Yard'!$N$41</f>
        <v>0</v>
      </c>
      <c r="Q34" s="7">
        <f>'Yard'!$O$41</f>
        <v>0</v>
      </c>
      <c r="R34" s="7">
        <f>'Yard'!$P$41</f>
        <v>0</v>
      </c>
      <c r="S34" s="7">
        <f>'Yard'!$Q$41</f>
        <v>0</v>
      </c>
      <c r="T34" s="7">
        <f>'Yard'!$R$41</f>
        <v>0</v>
      </c>
      <c r="U34" s="7">
        <f>'Yard'!$S$41</f>
        <v>0</v>
      </c>
      <c r="V34" s="9"/>
      <c r="W34" s="9"/>
      <c r="X34" s="10"/>
    </row>
    <row r="35" spans="1:24">
      <c r="A35" s="11" t="s">
        <v>182</v>
      </c>
      <c r="B35" s="7">
        <f>'Yard'!$B$42</f>
        <v>0</v>
      </c>
      <c r="C35" s="7">
        <f>'Yard'!$C$42</f>
        <v>0</v>
      </c>
      <c r="D35" s="7">
        <f>'Yard'!$D$42</f>
        <v>0</v>
      </c>
      <c r="E35" s="7">
        <f>'Yard'!$E$42</f>
        <v>0</v>
      </c>
      <c r="F35" s="7">
        <f>'Yard'!$F$42</f>
        <v>0</v>
      </c>
      <c r="G35" s="7">
        <f>'Yard'!$G$42</f>
        <v>0</v>
      </c>
      <c r="H35" s="7">
        <f>'Yard'!$H$42</f>
        <v>0</v>
      </c>
      <c r="I35" s="7">
        <f>'Yard'!$I$42</f>
        <v>0</v>
      </c>
      <c r="J35" s="7">
        <f>'Yard'!$J$42</f>
        <v>0</v>
      </c>
      <c r="K35" s="9"/>
      <c r="L35" s="9"/>
      <c r="M35" s="7">
        <f>'Yard'!$K$42</f>
        <v>0</v>
      </c>
      <c r="N35" s="7">
        <f>'Yard'!$L$42</f>
        <v>0</v>
      </c>
      <c r="O35" s="7">
        <f>'Yard'!$M$42</f>
        <v>0</v>
      </c>
      <c r="P35" s="7">
        <f>'Yard'!$N$42</f>
        <v>0</v>
      </c>
      <c r="Q35" s="7">
        <f>'Yard'!$O$42</f>
        <v>0</v>
      </c>
      <c r="R35" s="7">
        <f>'Yard'!$P$42</f>
        <v>0</v>
      </c>
      <c r="S35" s="7">
        <f>'Yard'!$Q$42</f>
        <v>0</v>
      </c>
      <c r="T35" s="7">
        <f>'Yard'!$R$42</f>
        <v>0</v>
      </c>
      <c r="U35" s="7">
        <f>'Yard'!$S$42</f>
        <v>0</v>
      </c>
      <c r="V35" s="9"/>
      <c r="W35" s="9"/>
      <c r="X35" s="10"/>
    </row>
    <row r="36" spans="1:24">
      <c r="A36" s="11" t="s">
        <v>183</v>
      </c>
      <c r="B36" s="7">
        <f>'Yard'!$B$69</f>
        <v>0</v>
      </c>
      <c r="C36" s="7">
        <f>'Yard'!$C$69</f>
        <v>0</v>
      </c>
      <c r="D36" s="7">
        <f>'Yard'!$D$69</f>
        <v>0</v>
      </c>
      <c r="E36" s="7">
        <f>'Yard'!$E$69</f>
        <v>0</v>
      </c>
      <c r="F36" s="7">
        <f>'Yard'!$F$69</f>
        <v>0</v>
      </c>
      <c r="G36" s="7">
        <f>'Yard'!$G$69</f>
        <v>0</v>
      </c>
      <c r="H36" s="7">
        <f>'Yard'!$H$69</f>
        <v>0</v>
      </c>
      <c r="I36" s="7">
        <f>'Yard'!$I$69</f>
        <v>0</v>
      </c>
      <c r="J36" s="7">
        <f>'Yard'!$J$69</f>
        <v>0</v>
      </c>
      <c r="K36" s="9"/>
      <c r="L36" s="9"/>
      <c r="M36" s="7">
        <f>'Yard'!$K$69</f>
        <v>0</v>
      </c>
      <c r="N36" s="7">
        <f>'Yard'!$L$69</f>
        <v>0</v>
      </c>
      <c r="O36" s="7">
        <f>'Yard'!$M$69</f>
        <v>0</v>
      </c>
      <c r="P36" s="7">
        <f>'Yard'!$N$69</f>
        <v>0</v>
      </c>
      <c r="Q36" s="7">
        <f>'Yard'!$O$69</f>
        <v>0</v>
      </c>
      <c r="R36" s="7">
        <f>'Yard'!$P$69</f>
        <v>0</v>
      </c>
      <c r="S36" s="7">
        <f>'Yard'!$Q$69</f>
        <v>0</v>
      </c>
      <c r="T36" s="7">
        <f>'Yard'!$R$69</f>
        <v>0</v>
      </c>
      <c r="U36" s="7">
        <f>'Yard'!$S$69</f>
        <v>0</v>
      </c>
      <c r="V36" s="9"/>
      <c r="W36" s="9"/>
      <c r="X36" s="10"/>
    </row>
    <row r="37" spans="1:24">
      <c r="A37" s="11" t="s">
        <v>184</v>
      </c>
      <c r="B37" s="7">
        <f>'Yard'!$B$44</f>
        <v>0</v>
      </c>
      <c r="C37" s="7">
        <f>'Yard'!$C$44</f>
        <v>0</v>
      </c>
      <c r="D37" s="7">
        <f>'Yard'!$D$44</f>
        <v>0</v>
      </c>
      <c r="E37" s="7">
        <f>'Yard'!$E$44</f>
        <v>0</v>
      </c>
      <c r="F37" s="7">
        <f>'Yard'!$F$44</f>
        <v>0</v>
      </c>
      <c r="G37" s="7">
        <f>'Yard'!$G$44</f>
        <v>0</v>
      </c>
      <c r="H37" s="7">
        <f>'Yard'!$H$44</f>
        <v>0</v>
      </c>
      <c r="I37" s="7">
        <f>'Yard'!$I$44</f>
        <v>0</v>
      </c>
      <c r="J37" s="7">
        <f>'Yard'!$J$44</f>
        <v>0</v>
      </c>
      <c r="K37" s="9"/>
      <c r="L37" s="9"/>
      <c r="M37" s="7">
        <f>'Yard'!$K$44</f>
        <v>0</v>
      </c>
      <c r="N37" s="7">
        <f>'Yard'!$L$44</f>
        <v>0</v>
      </c>
      <c r="O37" s="7">
        <f>'Yard'!$M$44</f>
        <v>0</v>
      </c>
      <c r="P37" s="7">
        <f>'Yard'!$N$44</f>
        <v>0</v>
      </c>
      <c r="Q37" s="7">
        <f>'Yard'!$O$44</f>
        <v>0</v>
      </c>
      <c r="R37" s="7">
        <f>'Yard'!$P$44</f>
        <v>0</v>
      </c>
      <c r="S37" s="7">
        <f>'Yard'!$Q$44</f>
        <v>0</v>
      </c>
      <c r="T37" s="7">
        <f>'Yard'!$R$44</f>
        <v>0</v>
      </c>
      <c r="U37" s="7">
        <f>'Yard'!$S$44</f>
        <v>0</v>
      </c>
      <c r="V37" s="9"/>
      <c r="W37" s="9"/>
      <c r="X37" s="10"/>
    </row>
    <row r="38" spans="1:24">
      <c r="A38" s="11" t="s">
        <v>185</v>
      </c>
      <c r="B38" s="7">
        <f>'Yard'!$B$70</f>
        <v>0</v>
      </c>
      <c r="C38" s="7">
        <f>'Yard'!$C$70</f>
        <v>0</v>
      </c>
      <c r="D38" s="7">
        <f>'Yard'!$D$70</f>
        <v>0</v>
      </c>
      <c r="E38" s="7">
        <f>'Yard'!$E$70</f>
        <v>0</v>
      </c>
      <c r="F38" s="7">
        <f>'Yard'!$F$70</f>
        <v>0</v>
      </c>
      <c r="G38" s="7">
        <f>'Yard'!$G$70</f>
        <v>0</v>
      </c>
      <c r="H38" s="7">
        <f>'Yard'!$H$70</f>
        <v>0</v>
      </c>
      <c r="I38" s="7">
        <f>'Yard'!$I$70</f>
        <v>0</v>
      </c>
      <c r="J38" s="7">
        <f>'Yard'!$J$70</f>
        <v>0</v>
      </c>
      <c r="K38" s="9"/>
      <c r="L38" s="9"/>
      <c r="M38" s="7">
        <f>'Yard'!$K$70</f>
        <v>0</v>
      </c>
      <c r="N38" s="7">
        <f>'Yard'!$L$70</f>
        <v>0</v>
      </c>
      <c r="O38" s="7">
        <f>'Yard'!$M$70</f>
        <v>0</v>
      </c>
      <c r="P38" s="7">
        <f>'Yard'!$N$70</f>
        <v>0</v>
      </c>
      <c r="Q38" s="7">
        <f>'Yard'!$O$70</f>
        <v>0</v>
      </c>
      <c r="R38" s="7">
        <f>'Yard'!$P$70</f>
        <v>0</v>
      </c>
      <c r="S38" s="7">
        <f>'Yard'!$Q$70</f>
        <v>0</v>
      </c>
      <c r="T38" s="7">
        <f>'Yard'!$R$70</f>
        <v>0</v>
      </c>
      <c r="U38" s="7">
        <f>'Yard'!$S$70</f>
        <v>0</v>
      </c>
      <c r="V38" s="9"/>
      <c r="W38" s="9"/>
      <c r="X38" s="10"/>
    </row>
    <row r="39" spans="1:24">
      <c r="A39" s="11" t="s">
        <v>193</v>
      </c>
      <c r="B39" s="7">
        <f>'Yard'!$B$46</f>
        <v>0</v>
      </c>
      <c r="C39" s="7">
        <f>'Yard'!$C$46</f>
        <v>0</v>
      </c>
      <c r="D39" s="7">
        <f>'Yard'!$D$46</f>
        <v>0</v>
      </c>
      <c r="E39" s="7">
        <f>'Yard'!$E$46</f>
        <v>0</v>
      </c>
      <c r="F39" s="7">
        <f>'Yard'!$F$46</f>
        <v>0</v>
      </c>
      <c r="G39" s="7">
        <f>'Yard'!$G$46</f>
        <v>0</v>
      </c>
      <c r="H39" s="7">
        <f>'Yard'!$H$46</f>
        <v>0</v>
      </c>
      <c r="I39" s="7">
        <f>'Yard'!$I$46</f>
        <v>0</v>
      </c>
      <c r="J39" s="7">
        <f>'Yard'!$J$46</f>
        <v>0</v>
      </c>
      <c r="K39" s="9"/>
      <c r="L39" s="9"/>
      <c r="M39" s="7">
        <f>'Yard'!$K$46</f>
        <v>0</v>
      </c>
      <c r="N39" s="7">
        <f>'Yard'!$L$46</f>
        <v>0</v>
      </c>
      <c r="O39" s="7">
        <f>'Yard'!$M$46</f>
        <v>0</v>
      </c>
      <c r="P39" s="7">
        <f>'Yard'!$N$46</f>
        <v>0</v>
      </c>
      <c r="Q39" s="7">
        <f>'Yard'!$O$46</f>
        <v>0</v>
      </c>
      <c r="R39" s="7">
        <f>'Yard'!$P$46</f>
        <v>0</v>
      </c>
      <c r="S39" s="7">
        <f>'Yard'!$Q$46</f>
        <v>0</v>
      </c>
      <c r="T39" s="7">
        <f>'Yard'!$R$46</f>
        <v>0</v>
      </c>
      <c r="U39" s="7">
        <f>'Yard'!$S$46</f>
        <v>0</v>
      </c>
      <c r="V39" s="9"/>
      <c r="W39" s="9"/>
      <c r="X39" s="10"/>
    </row>
    <row r="40" spans="1:24">
      <c r="A40" s="11" t="s">
        <v>194</v>
      </c>
      <c r="B40" s="7">
        <f>'Yard'!$B$71</f>
        <v>0</v>
      </c>
      <c r="C40" s="7">
        <f>'Yard'!$C$71</f>
        <v>0</v>
      </c>
      <c r="D40" s="7">
        <f>'Yard'!$D$71</f>
        <v>0</v>
      </c>
      <c r="E40" s="7">
        <f>'Yard'!$E$71</f>
        <v>0</v>
      </c>
      <c r="F40" s="7">
        <f>'Yard'!$F$71</f>
        <v>0</v>
      </c>
      <c r="G40" s="7">
        <f>'Yard'!$G$71</f>
        <v>0</v>
      </c>
      <c r="H40" s="7">
        <f>'Yard'!$H$71</f>
        <v>0</v>
      </c>
      <c r="I40" s="7">
        <f>'Yard'!$I$71</f>
        <v>0</v>
      </c>
      <c r="J40" s="7">
        <f>'Yard'!$J$71</f>
        <v>0</v>
      </c>
      <c r="K40" s="9"/>
      <c r="L40" s="9"/>
      <c r="M40" s="7">
        <f>'Yard'!$K$71</f>
        <v>0</v>
      </c>
      <c r="N40" s="7">
        <f>'Yard'!$L$71</f>
        <v>0</v>
      </c>
      <c r="O40" s="7">
        <f>'Yard'!$M$71</f>
        <v>0</v>
      </c>
      <c r="P40" s="7">
        <f>'Yard'!$N$71</f>
        <v>0</v>
      </c>
      <c r="Q40" s="7">
        <f>'Yard'!$O$71</f>
        <v>0</v>
      </c>
      <c r="R40" s="7">
        <f>'Yard'!$P$71</f>
        <v>0</v>
      </c>
      <c r="S40" s="7">
        <f>'Yard'!$Q$71</f>
        <v>0</v>
      </c>
      <c r="T40" s="7">
        <f>'Yard'!$R$71</f>
        <v>0</v>
      </c>
      <c r="U40" s="7">
        <f>'Yard'!$S$71</f>
        <v>0</v>
      </c>
      <c r="V40" s="9"/>
      <c r="W40" s="9"/>
      <c r="X40" s="10"/>
    </row>
    <row r="42" spans="1:24">
      <c r="A42" s="1" t="s">
        <v>1012</v>
      </c>
    </row>
    <row r="43" spans="1:24">
      <c r="A43" s="2" t="s">
        <v>349</v>
      </c>
    </row>
    <row r="44" spans="1:24">
      <c r="A44" s="12" t="s">
        <v>1013</v>
      </c>
    </row>
    <row r="45" spans="1:24">
      <c r="A45" s="12" t="s">
        <v>1014</v>
      </c>
    </row>
    <row r="46" spans="1:24">
      <c r="A46" s="12" t="s">
        <v>1015</v>
      </c>
    </row>
    <row r="47" spans="1:24">
      <c r="A47" s="12" t="s">
        <v>1016</v>
      </c>
    </row>
    <row r="48" spans="1:24">
      <c r="A48" s="12" t="s">
        <v>1017</v>
      </c>
    </row>
    <row r="49" spans="1:24">
      <c r="A49" s="2" t="s">
        <v>438</v>
      </c>
    </row>
    <row r="51" spans="1:24">
      <c r="B51" s="3" t="s">
        <v>140</v>
      </c>
      <c r="C51" s="3" t="s">
        <v>304</v>
      </c>
      <c r="D51" s="3" t="s">
        <v>305</v>
      </c>
      <c r="E51" s="3" t="s">
        <v>306</v>
      </c>
      <c r="F51" s="3" t="s">
        <v>307</v>
      </c>
      <c r="G51" s="3" t="s">
        <v>308</v>
      </c>
      <c r="H51" s="3" t="s">
        <v>309</v>
      </c>
      <c r="I51" s="3" t="s">
        <v>310</v>
      </c>
      <c r="J51" s="3" t="s">
        <v>311</v>
      </c>
      <c r="K51" s="3" t="s">
        <v>461</v>
      </c>
      <c r="L51" s="3" t="s">
        <v>473</v>
      </c>
      <c r="M51" s="3" t="s">
        <v>292</v>
      </c>
      <c r="N51" s="3" t="s">
        <v>810</v>
      </c>
      <c r="O51" s="3" t="s">
        <v>811</v>
      </c>
      <c r="P51" s="3" t="s">
        <v>812</v>
      </c>
      <c r="Q51" s="3" t="s">
        <v>813</v>
      </c>
      <c r="R51" s="3" t="s">
        <v>814</v>
      </c>
      <c r="S51" s="3" t="s">
        <v>815</v>
      </c>
      <c r="T51" s="3" t="s">
        <v>816</v>
      </c>
      <c r="U51" s="3" t="s">
        <v>817</v>
      </c>
      <c r="V51" s="3" t="s">
        <v>818</v>
      </c>
      <c r="W51" s="3" t="s">
        <v>819</v>
      </c>
    </row>
    <row r="52" spans="1:24">
      <c r="A52" s="11" t="s">
        <v>172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10"/>
    </row>
    <row r="53" spans="1:24">
      <c r="A53" s="11" t="s">
        <v>173</v>
      </c>
      <c r="B53" s="7">
        <f>'Standing'!$B$98</f>
        <v>0</v>
      </c>
      <c r="C53" s="7">
        <f>'Standing'!$C$98</f>
        <v>0</v>
      </c>
      <c r="D53" s="7">
        <f>'Standing'!$D$98</f>
        <v>0</v>
      </c>
      <c r="E53" s="7">
        <f>'Standing'!$E$98</f>
        <v>0</v>
      </c>
      <c r="F53" s="7">
        <f>'Standing'!$F$98</f>
        <v>0</v>
      </c>
      <c r="G53" s="7">
        <f>'Standing'!$G$98</f>
        <v>0</v>
      </c>
      <c r="H53" s="7">
        <f>'Standing'!$H$98</f>
        <v>0</v>
      </c>
      <c r="I53" s="7">
        <f>'Standing'!$I$98</f>
        <v>0</v>
      </c>
      <c r="J53" s="7">
        <f>'Standing'!$J$98</f>
        <v>0</v>
      </c>
      <c r="K53" s="9"/>
      <c r="L53" s="9"/>
      <c r="M53" s="7">
        <f>'Standing'!$K$98</f>
        <v>0</v>
      </c>
      <c r="N53" s="7">
        <f>'Standing'!$L$98</f>
        <v>0</v>
      </c>
      <c r="O53" s="7">
        <f>'Standing'!$M$98</f>
        <v>0</v>
      </c>
      <c r="P53" s="7">
        <f>'Standing'!$N$98</f>
        <v>0</v>
      </c>
      <c r="Q53" s="7">
        <f>'Standing'!$O$98</f>
        <v>0</v>
      </c>
      <c r="R53" s="7">
        <f>'Standing'!$P$98</f>
        <v>0</v>
      </c>
      <c r="S53" s="7">
        <f>'Standing'!$Q$98</f>
        <v>0</v>
      </c>
      <c r="T53" s="7">
        <f>'Standing'!$R$98</f>
        <v>0</v>
      </c>
      <c r="U53" s="7">
        <f>'Standing'!$S$98</f>
        <v>0</v>
      </c>
      <c r="V53" s="9"/>
      <c r="W53" s="9"/>
      <c r="X53" s="10"/>
    </row>
    <row r="54" spans="1:24">
      <c r="A54" s="11" t="s">
        <v>210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10"/>
    </row>
    <row r="55" spans="1:24">
      <c r="A55" s="11" t="s">
        <v>174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10"/>
    </row>
    <row r="56" spans="1:24">
      <c r="A56" s="11" t="s">
        <v>175</v>
      </c>
      <c r="B56" s="7">
        <f>'Standing'!$B$99</f>
        <v>0</v>
      </c>
      <c r="C56" s="7">
        <f>'Standing'!$C$99</f>
        <v>0</v>
      </c>
      <c r="D56" s="7">
        <f>'Standing'!$D$99</f>
        <v>0</v>
      </c>
      <c r="E56" s="7">
        <f>'Standing'!$E$99</f>
        <v>0</v>
      </c>
      <c r="F56" s="7">
        <f>'Standing'!$F$99</f>
        <v>0</v>
      </c>
      <c r="G56" s="7">
        <f>'Standing'!$G$99</f>
        <v>0</v>
      </c>
      <c r="H56" s="7">
        <f>'Standing'!$H$99</f>
        <v>0</v>
      </c>
      <c r="I56" s="7">
        <f>'Standing'!$I$99</f>
        <v>0</v>
      </c>
      <c r="J56" s="7">
        <f>'Standing'!$J$99</f>
        <v>0</v>
      </c>
      <c r="K56" s="9"/>
      <c r="L56" s="9"/>
      <c r="M56" s="7">
        <f>'Standing'!$K$99</f>
        <v>0</v>
      </c>
      <c r="N56" s="7">
        <f>'Standing'!$L$99</f>
        <v>0</v>
      </c>
      <c r="O56" s="7">
        <f>'Standing'!$M$99</f>
        <v>0</v>
      </c>
      <c r="P56" s="7">
        <f>'Standing'!$N$99</f>
        <v>0</v>
      </c>
      <c r="Q56" s="7">
        <f>'Standing'!$O$99</f>
        <v>0</v>
      </c>
      <c r="R56" s="7">
        <f>'Standing'!$P$99</f>
        <v>0</v>
      </c>
      <c r="S56" s="7">
        <f>'Standing'!$Q$99</f>
        <v>0</v>
      </c>
      <c r="T56" s="7">
        <f>'Standing'!$R$99</f>
        <v>0</v>
      </c>
      <c r="U56" s="7">
        <f>'Standing'!$S$99</f>
        <v>0</v>
      </c>
      <c r="V56" s="9"/>
      <c r="W56" s="9"/>
      <c r="X56" s="10"/>
    </row>
    <row r="57" spans="1:24">
      <c r="A57" s="11" t="s">
        <v>211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10"/>
    </row>
    <row r="58" spans="1:24">
      <c r="A58" s="11" t="s">
        <v>176</v>
      </c>
      <c r="B58" s="7">
        <f>'Standing'!$B$100</f>
        <v>0</v>
      </c>
      <c r="C58" s="7">
        <f>'Standing'!$C$100</f>
        <v>0</v>
      </c>
      <c r="D58" s="7">
        <f>'Standing'!$D$100</f>
        <v>0</v>
      </c>
      <c r="E58" s="7">
        <f>'Standing'!$E$100</f>
        <v>0</v>
      </c>
      <c r="F58" s="7">
        <f>'Standing'!$F$100</f>
        <v>0</v>
      </c>
      <c r="G58" s="7">
        <f>'Standing'!$G$100</f>
        <v>0</v>
      </c>
      <c r="H58" s="7">
        <f>'Standing'!$H$100</f>
        <v>0</v>
      </c>
      <c r="I58" s="7">
        <f>'Standing'!$I$100</f>
        <v>0</v>
      </c>
      <c r="J58" s="7">
        <f>'Standing'!$J$100</f>
        <v>0</v>
      </c>
      <c r="K58" s="9"/>
      <c r="L58" s="9"/>
      <c r="M58" s="7">
        <f>'Standing'!$K$100</f>
        <v>0</v>
      </c>
      <c r="N58" s="7">
        <f>'Standing'!$L$100</f>
        <v>0</v>
      </c>
      <c r="O58" s="7">
        <f>'Standing'!$M$100</f>
        <v>0</v>
      </c>
      <c r="P58" s="7">
        <f>'Standing'!$N$100</f>
        <v>0</v>
      </c>
      <c r="Q58" s="7">
        <f>'Standing'!$O$100</f>
        <v>0</v>
      </c>
      <c r="R58" s="7">
        <f>'Standing'!$P$100</f>
        <v>0</v>
      </c>
      <c r="S58" s="7">
        <f>'Standing'!$Q$100</f>
        <v>0</v>
      </c>
      <c r="T58" s="7">
        <f>'Standing'!$R$100</f>
        <v>0</v>
      </c>
      <c r="U58" s="7">
        <f>'Standing'!$S$100</f>
        <v>0</v>
      </c>
      <c r="V58" s="9"/>
      <c r="W58" s="9"/>
      <c r="X58" s="10"/>
    </row>
    <row r="59" spans="1:24">
      <c r="A59" s="11" t="s">
        <v>177</v>
      </c>
      <c r="B59" s="7">
        <f>'Standing'!$B$101</f>
        <v>0</v>
      </c>
      <c r="C59" s="7">
        <f>'Standing'!$C$101</f>
        <v>0</v>
      </c>
      <c r="D59" s="7">
        <f>'Standing'!$D$101</f>
        <v>0</v>
      </c>
      <c r="E59" s="7">
        <f>'Standing'!$E$101</f>
        <v>0</v>
      </c>
      <c r="F59" s="7">
        <f>'Standing'!$F$101</f>
        <v>0</v>
      </c>
      <c r="G59" s="7">
        <f>'Standing'!$G$101</f>
        <v>0</v>
      </c>
      <c r="H59" s="7">
        <f>'Standing'!$H$101</f>
        <v>0</v>
      </c>
      <c r="I59" s="7">
        <f>'Standing'!$I$101</f>
        <v>0</v>
      </c>
      <c r="J59" s="7">
        <f>'Standing'!$J$101</f>
        <v>0</v>
      </c>
      <c r="K59" s="9"/>
      <c r="L59" s="9"/>
      <c r="M59" s="7">
        <f>'Standing'!$K$101</f>
        <v>0</v>
      </c>
      <c r="N59" s="7">
        <f>'Standing'!$L$101</f>
        <v>0</v>
      </c>
      <c r="O59" s="7">
        <f>'Standing'!$M$101</f>
        <v>0</v>
      </c>
      <c r="P59" s="7">
        <f>'Standing'!$N$101</f>
        <v>0</v>
      </c>
      <c r="Q59" s="7">
        <f>'Standing'!$O$101</f>
        <v>0</v>
      </c>
      <c r="R59" s="7">
        <f>'Standing'!$P$101</f>
        <v>0</v>
      </c>
      <c r="S59" s="7">
        <f>'Standing'!$Q$101</f>
        <v>0</v>
      </c>
      <c r="T59" s="7">
        <f>'Standing'!$R$101</f>
        <v>0</v>
      </c>
      <c r="U59" s="7">
        <f>'Standing'!$S$101</f>
        <v>0</v>
      </c>
      <c r="V59" s="9"/>
      <c r="W59" s="9"/>
      <c r="X59" s="10"/>
    </row>
    <row r="60" spans="1:24">
      <c r="A60" s="11" t="s">
        <v>191</v>
      </c>
      <c r="B60" s="7">
        <f>'Standing'!$B$102</f>
        <v>0</v>
      </c>
      <c r="C60" s="7">
        <f>'Standing'!$C$102</f>
        <v>0</v>
      </c>
      <c r="D60" s="7">
        <f>'Standing'!$D$102</f>
        <v>0</v>
      </c>
      <c r="E60" s="7">
        <f>'Standing'!$E$102</f>
        <v>0</v>
      </c>
      <c r="F60" s="7">
        <f>'Standing'!$F$102</f>
        <v>0</v>
      </c>
      <c r="G60" s="7">
        <f>'Standing'!$G$102</f>
        <v>0</v>
      </c>
      <c r="H60" s="7">
        <f>'Standing'!$H$102</f>
        <v>0</v>
      </c>
      <c r="I60" s="7">
        <f>'Standing'!$I$102</f>
        <v>0</v>
      </c>
      <c r="J60" s="7">
        <f>'Standing'!$J$102</f>
        <v>0</v>
      </c>
      <c r="K60" s="9"/>
      <c r="L60" s="9"/>
      <c r="M60" s="7">
        <f>'Standing'!$K$102</f>
        <v>0</v>
      </c>
      <c r="N60" s="7">
        <f>'Standing'!$L$102</f>
        <v>0</v>
      </c>
      <c r="O60" s="7">
        <f>'Standing'!$M$102</f>
        <v>0</v>
      </c>
      <c r="P60" s="7">
        <f>'Standing'!$N$102</f>
        <v>0</v>
      </c>
      <c r="Q60" s="7">
        <f>'Standing'!$O$102</f>
        <v>0</v>
      </c>
      <c r="R60" s="7">
        <f>'Standing'!$P$102</f>
        <v>0</v>
      </c>
      <c r="S60" s="7">
        <f>'Standing'!$Q$102</f>
        <v>0</v>
      </c>
      <c r="T60" s="7">
        <f>'Standing'!$R$102</f>
        <v>0</v>
      </c>
      <c r="U60" s="7">
        <f>'Standing'!$S$102</f>
        <v>0</v>
      </c>
      <c r="V60" s="9"/>
      <c r="W60" s="9"/>
      <c r="X60" s="10"/>
    </row>
    <row r="61" spans="1:24">
      <c r="A61" s="11" t="s">
        <v>178</v>
      </c>
      <c r="B61" s="7">
        <f>'Standing'!$B$103</f>
        <v>0</v>
      </c>
      <c r="C61" s="7">
        <f>'Standing'!$C$103</f>
        <v>0</v>
      </c>
      <c r="D61" s="7">
        <f>'Standing'!$D$103</f>
        <v>0</v>
      </c>
      <c r="E61" s="7">
        <f>'Standing'!$E$103</f>
        <v>0</v>
      </c>
      <c r="F61" s="7">
        <f>'Standing'!$F$103</f>
        <v>0</v>
      </c>
      <c r="G61" s="7">
        <f>'Standing'!$G$103</f>
        <v>0</v>
      </c>
      <c r="H61" s="7">
        <f>'Standing'!$H$103</f>
        <v>0</v>
      </c>
      <c r="I61" s="7">
        <f>'Standing'!$I$103</f>
        <v>0</v>
      </c>
      <c r="J61" s="7">
        <f>'Standing'!$J$103</f>
        <v>0</v>
      </c>
      <c r="K61" s="9"/>
      <c r="L61" s="9"/>
      <c r="M61" s="7">
        <f>'Standing'!$K$103</f>
        <v>0</v>
      </c>
      <c r="N61" s="7">
        <f>'Standing'!$L$103</f>
        <v>0</v>
      </c>
      <c r="O61" s="7">
        <f>'Standing'!$M$103</f>
        <v>0</v>
      </c>
      <c r="P61" s="7">
        <f>'Standing'!$N$103</f>
        <v>0</v>
      </c>
      <c r="Q61" s="7">
        <f>'Standing'!$O$103</f>
        <v>0</v>
      </c>
      <c r="R61" s="7">
        <f>'Standing'!$P$103</f>
        <v>0</v>
      </c>
      <c r="S61" s="7">
        <f>'Standing'!$Q$103</f>
        <v>0</v>
      </c>
      <c r="T61" s="7">
        <f>'Standing'!$R$103</f>
        <v>0</v>
      </c>
      <c r="U61" s="7">
        <f>'Standing'!$S$103</f>
        <v>0</v>
      </c>
      <c r="V61" s="9"/>
      <c r="W61" s="9"/>
      <c r="X61" s="10"/>
    </row>
    <row r="62" spans="1:24">
      <c r="A62" s="11" t="s">
        <v>179</v>
      </c>
      <c r="B62" s="7">
        <f>'Standing'!$B$104</f>
        <v>0</v>
      </c>
      <c r="C62" s="7">
        <f>'Standing'!$C$104</f>
        <v>0</v>
      </c>
      <c r="D62" s="7">
        <f>'Standing'!$D$104</f>
        <v>0</v>
      </c>
      <c r="E62" s="7">
        <f>'Standing'!$E$104</f>
        <v>0</v>
      </c>
      <c r="F62" s="7">
        <f>'Standing'!$F$104</f>
        <v>0</v>
      </c>
      <c r="G62" s="7">
        <f>'Standing'!$G$104</f>
        <v>0</v>
      </c>
      <c r="H62" s="7">
        <f>'Standing'!$H$104</f>
        <v>0</v>
      </c>
      <c r="I62" s="7">
        <f>'Standing'!$I$104</f>
        <v>0</v>
      </c>
      <c r="J62" s="7">
        <f>'Standing'!$J$104</f>
        <v>0</v>
      </c>
      <c r="K62" s="9"/>
      <c r="L62" s="9"/>
      <c r="M62" s="7">
        <f>'Standing'!$K$104</f>
        <v>0</v>
      </c>
      <c r="N62" s="7">
        <f>'Standing'!$L$104</f>
        <v>0</v>
      </c>
      <c r="O62" s="7">
        <f>'Standing'!$M$104</f>
        <v>0</v>
      </c>
      <c r="P62" s="7">
        <f>'Standing'!$N$104</f>
        <v>0</v>
      </c>
      <c r="Q62" s="7">
        <f>'Standing'!$O$104</f>
        <v>0</v>
      </c>
      <c r="R62" s="7">
        <f>'Standing'!$P$104</f>
        <v>0</v>
      </c>
      <c r="S62" s="7">
        <f>'Standing'!$Q$104</f>
        <v>0</v>
      </c>
      <c r="T62" s="7">
        <f>'Standing'!$R$104</f>
        <v>0</v>
      </c>
      <c r="U62" s="7">
        <f>'Standing'!$S$104</f>
        <v>0</v>
      </c>
      <c r="V62" s="9"/>
      <c r="W62" s="9"/>
      <c r="X62" s="10"/>
    </row>
    <row r="63" spans="1:24">
      <c r="A63" s="11" t="s">
        <v>192</v>
      </c>
      <c r="B63" s="7">
        <f>'Standing'!$B$105</f>
        <v>0</v>
      </c>
      <c r="C63" s="7">
        <f>'Standing'!$C$105</f>
        <v>0</v>
      </c>
      <c r="D63" s="7">
        <f>'Standing'!$D$105</f>
        <v>0</v>
      </c>
      <c r="E63" s="7">
        <f>'Standing'!$E$105</f>
        <v>0</v>
      </c>
      <c r="F63" s="7">
        <f>'Standing'!$F$105</f>
        <v>0</v>
      </c>
      <c r="G63" s="7">
        <f>'Standing'!$G$105</f>
        <v>0</v>
      </c>
      <c r="H63" s="7">
        <f>'Standing'!$H$105</f>
        <v>0</v>
      </c>
      <c r="I63" s="7">
        <f>'Standing'!$I$105</f>
        <v>0</v>
      </c>
      <c r="J63" s="7">
        <f>'Standing'!$J$105</f>
        <v>0</v>
      </c>
      <c r="K63" s="9"/>
      <c r="L63" s="9"/>
      <c r="M63" s="7">
        <f>'Standing'!$K$105</f>
        <v>0</v>
      </c>
      <c r="N63" s="7">
        <f>'Standing'!$L$105</f>
        <v>0</v>
      </c>
      <c r="O63" s="7">
        <f>'Standing'!$M$105</f>
        <v>0</v>
      </c>
      <c r="P63" s="7">
        <f>'Standing'!$N$105</f>
        <v>0</v>
      </c>
      <c r="Q63" s="7">
        <f>'Standing'!$O$105</f>
        <v>0</v>
      </c>
      <c r="R63" s="7">
        <f>'Standing'!$P$105</f>
        <v>0</v>
      </c>
      <c r="S63" s="7">
        <f>'Standing'!$Q$105</f>
        <v>0</v>
      </c>
      <c r="T63" s="7">
        <f>'Standing'!$R$105</f>
        <v>0</v>
      </c>
      <c r="U63" s="7">
        <f>'Standing'!$S$105</f>
        <v>0</v>
      </c>
      <c r="V63" s="9"/>
      <c r="W63" s="9"/>
      <c r="X63" s="10"/>
    </row>
    <row r="64" spans="1:24">
      <c r="A64" s="11" t="s">
        <v>212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10"/>
    </row>
    <row r="65" spans="1:24">
      <c r="A65" s="11" t="s">
        <v>213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10"/>
    </row>
    <row r="66" spans="1:24">
      <c r="A66" s="11" t="s">
        <v>214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10"/>
    </row>
    <row r="67" spans="1:24">
      <c r="A67" s="11" t="s">
        <v>215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10"/>
    </row>
    <row r="68" spans="1:24">
      <c r="A68" s="11" t="s">
        <v>216</v>
      </c>
      <c r="B68" s="7">
        <f>'Yard'!$B$99</f>
        <v>0</v>
      </c>
      <c r="C68" s="7">
        <f>'Yard'!$C$99</f>
        <v>0</v>
      </c>
      <c r="D68" s="7">
        <f>'Yard'!$D$99</f>
        <v>0</v>
      </c>
      <c r="E68" s="7">
        <f>'Yard'!$E$99</f>
        <v>0</v>
      </c>
      <c r="F68" s="7">
        <f>'Yard'!$F$99</f>
        <v>0</v>
      </c>
      <c r="G68" s="7">
        <f>'Yard'!$G$99</f>
        <v>0</v>
      </c>
      <c r="H68" s="7">
        <f>'Yard'!$H$99</f>
        <v>0</v>
      </c>
      <c r="I68" s="7">
        <f>'Yard'!$I$99</f>
        <v>0</v>
      </c>
      <c r="J68" s="7">
        <f>'Yard'!$J$99</f>
        <v>0</v>
      </c>
      <c r="K68" s="9"/>
      <c r="L68" s="9"/>
      <c r="M68" s="7">
        <f>'Yard'!$K$99</f>
        <v>0</v>
      </c>
      <c r="N68" s="7">
        <f>'Yard'!$L$99</f>
        <v>0</v>
      </c>
      <c r="O68" s="7">
        <f>'Yard'!$M$99</f>
        <v>0</v>
      </c>
      <c r="P68" s="7">
        <f>'Yard'!$N$99</f>
        <v>0</v>
      </c>
      <c r="Q68" s="7">
        <f>'Yard'!$O$99</f>
        <v>0</v>
      </c>
      <c r="R68" s="7">
        <f>'Yard'!$P$99</f>
        <v>0</v>
      </c>
      <c r="S68" s="7">
        <f>'Yard'!$Q$99</f>
        <v>0</v>
      </c>
      <c r="T68" s="7">
        <f>'Yard'!$R$99</f>
        <v>0</v>
      </c>
      <c r="U68" s="7">
        <f>'Yard'!$S$99</f>
        <v>0</v>
      </c>
      <c r="V68" s="7">
        <f>'Otex'!$B$158</f>
        <v>0</v>
      </c>
      <c r="W68" s="9"/>
      <c r="X68" s="10"/>
    </row>
    <row r="69" spans="1:24">
      <c r="A69" s="11" t="s">
        <v>180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10"/>
    </row>
    <row r="70" spans="1:24">
      <c r="A70" s="11" t="s">
        <v>181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10"/>
    </row>
    <row r="71" spans="1:24">
      <c r="A71" s="11" t="s">
        <v>182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10"/>
    </row>
    <row r="72" spans="1:24">
      <c r="A72" s="11" t="s">
        <v>183</v>
      </c>
      <c r="B72" s="7">
        <f>'Yard'!$B$96</f>
        <v>0</v>
      </c>
      <c r="C72" s="7">
        <f>'Yard'!$C$96</f>
        <v>0</v>
      </c>
      <c r="D72" s="7">
        <f>'Yard'!$D$96</f>
        <v>0</v>
      </c>
      <c r="E72" s="7">
        <f>'Yard'!$E$96</f>
        <v>0</v>
      </c>
      <c r="F72" s="7">
        <f>'Yard'!$F$96</f>
        <v>0</v>
      </c>
      <c r="G72" s="7">
        <f>'Yard'!$G$96</f>
        <v>0</v>
      </c>
      <c r="H72" s="7">
        <f>'Yard'!$H$96</f>
        <v>0</v>
      </c>
      <c r="I72" s="7">
        <f>'Yard'!$I$96</f>
        <v>0</v>
      </c>
      <c r="J72" s="7">
        <f>'Yard'!$J$96</f>
        <v>0</v>
      </c>
      <c r="K72" s="9"/>
      <c r="L72" s="9"/>
      <c r="M72" s="7">
        <f>'Yard'!$K$96</f>
        <v>0</v>
      </c>
      <c r="N72" s="7">
        <f>'Yard'!$L$96</f>
        <v>0</v>
      </c>
      <c r="O72" s="7">
        <f>'Yard'!$M$96</f>
        <v>0</v>
      </c>
      <c r="P72" s="7">
        <f>'Yard'!$N$96</f>
        <v>0</v>
      </c>
      <c r="Q72" s="7">
        <f>'Yard'!$O$96</f>
        <v>0</v>
      </c>
      <c r="R72" s="7">
        <f>'Yard'!$P$96</f>
        <v>0</v>
      </c>
      <c r="S72" s="7">
        <f>'Yard'!$Q$96</f>
        <v>0</v>
      </c>
      <c r="T72" s="7">
        <f>'Yard'!$R$96</f>
        <v>0</v>
      </c>
      <c r="U72" s="7">
        <f>'Yard'!$S$96</f>
        <v>0</v>
      </c>
      <c r="V72" s="9"/>
      <c r="W72" s="9"/>
      <c r="X72" s="10"/>
    </row>
    <row r="73" spans="1:24">
      <c r="A73" s="11" t="s">
        <v>184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10"/>
    </row>
    <row r="74" spans="1:24">
      <c r="A74" s="11" t="s">
        <v>185</v>
      </c>
      <c r="B74" s="7">
        <f>'Yard'!$B$97</f>
        <v>0</v>
      </c>
      <c r="C74" s="7">
        <f>'Yard'!$C$97</f>
        <v>0</v>
      </c>
      <c r="D74" s="7">
        <f>'Yard'!$D$97</f>
        <v>0</v>
      </c>
      <c r="E74" s="7">
        <f>'Yard'!$E$97</f>
        <v>0</v>
      </c>
      <c r="F74" s="7">
        <f>'Yard'!$F$97</f>
        <v>0</v>
      </c>
      <c r="G74" s="7">
        <f>'Yard'!$G$97</f>
        <v>0</v>
      </c>
      <c r="H74" s="7">
        <f>'Yard'!$H$97</f>
        <v>0</v>
      </c>
      <c r="I74" s="7">
        <f>'Yard'!$I$97</f>
        <v>0</v>
      </c>
      <c r="J74" s="7">
        <f>'Yard'!$J$97</f>
        <v>0</v>
      </c>
      <c r="K74" s="9"/>
      <c r="L74" s="9"/>
      <c r="M74" s="7">
        <f>'Yard'!$K$97</f>
        <v>0</v>
      </c>
      <c r="N74" s="7">
        <f>'Yard'!$L$97</f>
        <v>0</v>
      </c>
      <c r="O74" s="7">
        <f>'Yard'!$M$97</f>
        <v>0</v>
      </c>
      <c r="P74" s="7">
        <f>'Yard'!$N$97</f>
        <v>0</v>
      </c>
      <c r="Q74" s="7">
        <f>'Yard'!$O$97</f>
        <v>0</v>
      </c>
      <c r="R74" s="7">
        <f>'Yard'!$P$97</f>
        <v>0</v>
      </c>
      <c r="S74" s="7">
        <f>'Yard'!$Q$97</f>
        <v>0</v>
      </c>
      <c r="T74" s="7">
        <f>'Yard'!$R$97</f>
        <v>0</v>
      </c>
      <c r="U74" s="7">
        <f>'Yard'!$S$97</f>
        <v>0</v>
      </c>
      <c r="V74" s="9"/>
      <c r="W74" s="9"/>
      <c r="X74" s="10"/>
    </row>
    <row r="75" spans="1:24">
      <c r="A75" s="11" t="s">
        <v>193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10"/>
    </row>
    <row r="76" spans="1:24">
      <c r="A76" s="11" t="s">
        <v>194</v>
      </c>
      <c r="B76" s="7">
        <f>'Yard'!$B$98</f>
        <v>0</v>
      </c>
      <c r="C76" s="7">
        <f>'Yard'!$C$98</f>
        <v>0</v>
      </c>
      <c r="D76" s="7">
        <f>'Yard'!$D$98</f>
        <v>0</v>
      </c>
      <c r="E76" s="7">
        <f>'Yard'!$E$98</f>
        <v>0</v>
      </c>
      <c r="F76" s="7">
        <f>'Yard'!$F$98</f>
        <v>0</v>
      </c>
      <c r="G76" s="7">
        <f>'Yard'!$G$98</f>
        <v>0</v>
      </c>
      <c r="H76" s="7">
        <f>'Yard'!$H$98</f>
        <v>0</v>
      </c>
      <c r="I76" s="7">
        <f>'Yard'!$I$98</f>
        <v>0</v>
      </c>
      <c r="J76" s="7">
        <f>'Yard'!$J$98</f>
        <v>0</v>
      </c>
      <c r="K76" s="9"/>
      <c r="L76" s="9"/>
      <c r="M76" s="7">
        <f>'Yard'!$K$98</f>
        <v>0</v>
      </c>
      <c r="N76" s="7">
        <f>'Yard'!$L$98</f>
        <v>0</v>
      </c>
      <c r="O76" s="7">
        <f>'Yard'!$M$98</f>
        <v>0</v>
      </c>
      <c r="P76" s="7">
        <f>'Yard'!$N$98</f>
        <v>0</v>
      </c>
      <c r="Q76" s="7">
        <f>'Yard'!$O$98</f>
        <v>0</v>
      </c>
      <c r="R76" s="7">
        <f>'Yard'!$P$98</f>
        <v>0</v>
      </c>
      <c r="S76" s="7">
        <f>'Yard'!$Q$98</f>
        <v>0</v>
      </c>
      <c r="T76" s="7">
        <f>'Yard'!$R$98</f>
        <v>0</v>
      </c>
      <c r="U76" s="7">
        <f>'Yard'!$S$98</f>
        <v>0</v>
      </c>
      <c r="V76" s="9"/>
      <c r="W76" s="9"/>
      <c r="X76" s="10"/>
    </row>
    <row r="78" spans="1:24">
      <c r="A78" s="1" t="s">
        <v>1018</v>
      </c>
    </row>
    <row r="79" spans="1:24">
      <c r="A79" s="2" t="s">
        <v>349</v>
      </c>
    </row>
    <row r="80" spans="1:24">
      <c r="A80" s="12" t="s">
        <v>1019</v>
      </c>
    </row>
    <row r="81" spans="1:24">
      <c r="A81" s="12" t="s">
        <v>1020</v>
      </c>
    </row>
    <row r="82" spans="1:24">
      <c r="A82" s="12" t="s">
        <v>1021</v>
      </c>
    </row>
    <row r="83" spans="1:24">
      <c r="A83" s="12" t="s">
        <v>1022</v>
      </c>
    </row>
    <row r="84" spans="1:24">
      <c r="A84" s="12" t="s">
        <v>1023</v>
      </c>
    </row>
    <row r="85" spans="1:24">
      <c r="A85" s="2" t="s">
        <v>438</v>
      </c>
    </row>
    <row r="87" spans="1:24">
      <c r="B87" s="3" t="s">
        <v>140</v>
      </c>
      <c r="C87" s="3" t="s">
        <v>304</v>
      </c>
      <c r="D87" s="3" t="s">
        <v>305</v>
      </c>
      <c r="E87" s="3" t="s">
        <v>306</v>
      </c>
      <c r="F87" s="3" t="s">
        <v>307</v>
      </c>
      <c r="G87" s="3" t="s">
        <v>308</v>
      </c>
      <c r="H87" s="3" t="s">
        <v>309</v>
      </c>
      <c r="I87" s="3" t="s">
        <v>310</v>
      </c>
      <c r="J87" s="3" t="s">
        <v>311</v>
      </c>
      <c r="K87" s="3" t="s">
        <v>461</v>
      </c>
      <c r="L87" s="3" t="s">
        <v>473</v>
      </c>
      <c r="M87" s="3" t="s">
        <v>292</v>
      </c>
      <c r="N87" s="3" t="s">
        <v>810</v>
      </c>
      <c r="O87" s="3" t="s">
        <v>811</v>
      </c>
      <c r="P87" s="3" t="s">
        <v>812</v>
      </c>
      <c r="Q87" s="3" t="s">
        <v>813</v>
      </c>
      <c r="R87" s="3" t="s">
        <v>814</v>
      </c>
      <c r="S87" s="3" t="s">
        <v>815</v>
      </c>
      <c r="T87" s="3" t="s">
        <v>816</v>
      </c>
      <c r="U87" s="3" t="s">
        <v>817</v>
      </c>
      <c r="V87" s="3" t="s">
        <v>818</v>
      </c>
      <c r="W87" s="3" t="s">
        <v>819</v>
      </c>
    </row>
    <row r="88" spans="1:24">
      <c r="A88" s="11" t="s">
        <v>172</v>
      </c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10"/>
    </row>
    <row r="89" spans="1:24">
      <c r="A89" s="11" t="s">
        <v>173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10"/>
    </row>
    <row r="90" spans="1:24">
      <c r="A90" s="11" t="s">
        <v>210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10"/>
    </row>
    <row r="91" spans="1:24">
      <c r="A91" s="11" t="s">
        <v>174</v>
      </c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10"/>
    </row>
    <row r="92" spans="1:24">
      <c r="A92" s="11" t="s">
        <v>175</v>
      </c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10"/>
    </row>
    <row r="93" spans="1:24">
      <c r="A93" s="11" t="s">
        <v>211</v>
      </c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10"/>
    </row>
    <row r="94" spans="1:24">
      <c r="A94" s="11" t="s">
        <v>176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10"/>
    </row>
    <row r="95" spans="1:24">
      <c r="A95" s="11" t="s">
        <v>177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10"/>
    </row>
    <row r="96" spans="1:24">
      <c r="A96" s="11" t="s">
        <v>191</v>
      </c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10"/>
    </row>
    <row r="97" spans="1:24">
      <c r="A97" s="11" t="s">
        <v>178</v>
      </c>
      <c r="B97" s="7">
        <f>'Standing'!$B$115</f>
        <v>0</v>
      </c>
      <c r="C97" s="7">
        <f>'Standing'!$C$115</f>
        <v>0</v>
      </c>
      <c r="D97" s="7">
        <f>'Standing'!$D$115</f>
        <v>0</v>
      </c>
      <c r="E97" s="7">
        <f>'Standing'!$E$115</f>
        <v>0</v>
      </c>
      <c r="F97" s="7">
        <f>'Standing'!$F$115</f>
        <v>0</v>
      </c>
      <c r="G97" s="7">
        <f>'Standing'!$G$115</f>
        <v>0</v>
      </c>
      <c r="H97" s="7">
        <f>'Standing'!$H$115</f>
        <v>0</v>
      </c>
      <c r="I97" s="7">
        <f>'Standing'!$I$115</f>
        <v>0</v>
      </c>
      <c r="J97" s="7">
        <f>'Standing'!$J$115</f>
        <v>0</v>
      </c>
      <c r="K97" s="9"/>
      <c r="L97" s="9"/>
      <c r="M97" s="7">
        <f>'Standing'!$K$115</f>
        <v>0</v>
      </c>
      <c r="N97" s="7">
        <f>'Standing'!$L$115</f>
        <v>0</v>
      </c>
      <c r="O97" s="7">
        <f>'Standing'!$M$115</f>
        <v>0</v>
      </c>
      <c r="P97" s="7">
        <f>'Standing'!$N$115</f>
        <v>0</v>
      </c>
      <c r="Q97" s="7">
        <f>'Standing'!$O$115</f>
        <v>0</v>
      </c>
      <c r="R97" s="7">
        <f>'Standing'!$P$115</f>
        <v>0</v>
      </c>
      <c r="S97" s="7">
        <f>'Standing'!$Q$115</f>
        <v>0</v>
      </c>
      <c r="T97" s="7">
        <f>'Standing'!$R$115</f>
        <v>0</v>
      </c>
      <c r="U97" s="7">
        <f>'Standing'!$S$115</f>
        <v>0</v>
      </c>
      <c r="V97" s="9"/>
      <c r="W97" s="9"/>
      <c r="X97" s="10"/>
    </row>
    <row r="98" spans="1:24">
      <c r="A98" s="11" t="s">
        <v>179</v>
      </c>
      <c r="B98" s="7">
        <f>'Standing'!$B$116</f>
        <v>0</v>
      </c>
      <c r="C98" s="7">
        <f>'Standing'!$C$116</f>
        <v>0</v>
      </c>
      <c r="D98" s="7">
        <f>'Standing'!$D$116</f>
        <v>0</v>
      </c>
      <c r="E98" s="7">
        <f>'Standing'!$E$116</f>
        <v>0</v>
      </c>
      <c r="F98" s="7">
        <f>'Standing'!$F$116</f>
        <v>0</v>
      </c>
      <c r="G98" s="7">
        <f>'Standing'!$G$116</f>
        <v>0</v>
      </c>
      <c r="H98" s="7">
        <f>'Standing'!$H$116</f>
        <v>0</v>
      </c>
      <c r="I98" s="7">
        <f>'Standing'!$I$116</f>
        <v>0</v>
      </c>
      <c r="J98" s="7">
        <f>'Standing'!$J$116</f>
        <v>0</v>
      </c>
      <c r="K98" s="9"/>
      <c r="L98" s="9"/>
      <c r="M98" s="7">
        <f>'Standing'!$K$116</f>
        <v>0</v>
      </c>
      <c r="N98" s="7">
        <f>'Standing'!$L$116</f>
        <v>0</v>
      </c>
      <c r="O98" s="7">
        <f>'Standing'!$M$116</f>
        <v>0</v>
      </c>
      <c r="P98" s="7">
        <f>'Standing'!$N$116</f>
        <v>0</v>
      </c>
      <c r="Q98" s="7">
        <f>'Standing'!$O$116</f>
        <v>0</v>
      </c>
      <c r="R98" s="7">
        <f>'Standing'!$P$116</f>
        <v>0</v>
      </c>
      <c r="S98" s="7">
        <f>'Standing'!$Q$116</f>
        <v>0</v>
      </c>
      <c r="T98" s="7">
        <f>'Standing'!$R$116</f>
        <v>0</v>
      </c>
      <c r="U98" s="7">
        <f>'Standing'!$S$116</f>
        <v>0</v>
      </c>
      <c r="V98" s="9"/>
      <c r="W98" s="9"/>
      <c r="X98" s="10"/>
    </row>
    <row r="99" spans="1:24">
      <c r="A99" s="11" t="s">
        <v>192</v>
      </c>
      <c r="B99" s="7">
        <f>'Standing'!$B$117</f>
        <v>0</v>
      </c>
      <c r="C99" s="7">
        <f>'Standing'!$C$117</f>
        <v>0</v>
      </c>
      <c r="D99" s="7">
        <f>'Standing'!$D$117</f>
        <v>0</v>
      </c>
      <c r="E99" s="7">
        <f>'Standing'!$E$117</f>
        <v>0</v>
      </c>
      <c r="F99" s="7">
        <f>'Standing'!$F$117</f>
        <v>0</v>
      </c>
      <c r="G99" s="7">
        <f>'Standing'!$G$117</f>
        <v>0</v>
      </c>
      <c r="H99" s="7">
        <f>'Standing'!$H$117</f>
        <v>0</v>
      </c>
      <c r="I99" s="7">
        <f>'Standing'!$I$117</f>
        <v>0</v>
      </c>
      <c r="J99" s="7">
        <f>'Standing'!$J$117</f>
        <v>0</v>
      </c>
      <c r="K99" s="9"/>
      <c r="L99" s="9"/>
      <c r="M99" s="7">
        <f>'Standing'!$K$117</f>
        <v>0</v>
      </c>
      <c r="N99" s="7">
        <f>'Standing'!$L$117</f>
        <v>0</v>
      </c>
      <c r="O99" s="7">
        <f>'Standing'!$M$117</f>
        <v>0</v>
      </c>
      <c r="P99" s="7">
        <f>'Standing'!$N$117</f>
        <v>0</v>
      </c>
      <c r="Q99" s="7">
        <f>'Standing'!$O$117</f>
        <v>0</v>
      </c>
      <c r="R99" s="7">
        <f>'Standing'!$P$117</f>
        <v>0</v>
      </c>
      <c r="S99" s="7">
        <f>'Standing'!$Q$117</f>
        <v>0</v>
      </c>
      <c r="T99" s="7">
        <f>'Standing'!$R$117</f>
        <v>0</v>
      </c>
      <c r="U99" s="7">
        <f>'Standing'!$S$117</f>
        <v>0</v>
      </c>
      <c r="V99" s="9"/>
      <c r="W99" s="9"/>
      <c r="X99" s="10"/>
    </row>
    <row r="100" spans="1:24">
      <c r="A100" s="11" t="s">
        <v>212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10"/>
    </row>
    <row r="101" spans="1:24">
      <c r="A101" s="11" t="s">
        <v>213</v>
      </c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10"/>
    </row>
    <row r="102" spans="1:24">
      <c r="A102" s="11" t="s">
        <v>214</v>
      </c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10"/>
    </row>
    <row r="103" spans="1:24">
      <c r="A103" s="11" t="s">
        <v>215</v>
      </c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10"/>
    </row>
    <row r="104" spans="1:24">
      <c r="A104" s="11" t="s">
        <v>216</v>
      </c>
      <c r="B104" s="7">
        <f>'Yard'!$B$117</f>
        <v>0</v>
      </c>
      <c r="C104" s="7">
        <f>'Yard'!$C$117</f>
        <v>0</v>
      </c>
      <c r="D104" s="7">
        <f>'Yard'!$D$117</f>
        <v>0</v>
      </c>
      <c r="E104" s="7">
        <f>'Yard'!$E$117</f>
        <v>0</v>
      </c>
      <c r="F104" s="7">
        <f>'Yard'!$F$117</f>
        <v>0</v>
      </c>
      <c r="G104" s="7">
        <f>'Yard'!$G$117</f>
        <v>0</v>
      </c>
      <c r="H104" s="7">
        <f>'Yard'!$H$117</f>
        <v>0</v>
      </c>
      <c r="I104" s="7">
        <f>'Yard'!$I$117</f>
        <v>0</v>
      </c>
      <c r="J104" s="7">
        <f>'Yard'!$J$117</f>
        <v>0</v>
      </c>
      <c r="K104" s="9"/>
      <c r="L104" s="9"/>
      <c r="M104" s="7">
        <f>'Yard'!$K$117</f>
        <v>0</v>
      </c>
      <c r="N104" s="7">
        <f>'Yard'!$L$117</f>
        <v>0</v>
      </c>
      <c r="O104" s="7">
        <f>'Yard'!$M$117</f>
        <v>0</v>
      </c>
      <c r="P104" s="7">
        <f>'Yard'!$N$117</f>
        <v>0</v>
      </c>
      <c r="Q104" s="7">
        <f>'Yard'!$O$117</f>
        <v>0</v>
      </c>
      <c r="R104" s="7">
        <f>'Yard'!$P$117</f>
        <v>0</v>
      </c>
      <c r="S104" s="7">
        <f>'Yard'!$Q$117</f>
        <v>0</v>
      </c>
      <c r="T104" s="7">
        <f>'Yard'!$R$117</f>
        <v>0</v>
      </c>
      <c r="U104" s="7">
        <f>'Yard'!$S$117</f>
        <v>0</v>
      </c>
      <c r="V104" s="7">
        <f>'Otex'!$B$158</f>
        <v>0</v>
      </c>
      <c r="W104" s="9"/>
      <c r="X104" s="10"/>
    </row>
    <row r="105" spans="1:24">
      <c r="A105" s="11" t="s">
        <v>180</v>
      </c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10"/>
    </row>
    <row r="106" spans="1:24">
      <c r="A106" s="11" t="s">
        <v>181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10"/>
    </row>
    <row r="107" spans="1:24">
      <c r="A107" s="11" t="s">
        <v>182</v>
      </c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10"/>
    </row>
    <row r="108" spans="1:24">
      <c r="A108" s="11" t="s">
        <v>183</v>
      </c>
      <c r="B108" s="7">
        <f>'Yard'!$B$114</f>
        <v>0</v>
      </c>
      <c r="C108" s="7">
        <f>'Yard'!$C$114</f>
        <v>0</v>
      </c>
      <c r="D108" s="7">
        <f>'Yard'!$D$114</f>
        <v>0</v>
      </c>
      <c r="E108" s="7">
        <f>'Yard'!$E$114</f>
        <v>0</v>
      </c>
      <c r="F108" s="7">
        <f>'Yard'!$F$114</f>
        <v>0</v>
      </c>
      <c r="G108" s="7">
        <f>'Yard'!$G$114</f>
        <v>0</v>
      </c>
      <c r="H108" s="7">
        <f>'Yard'!$H$114</f>
        <v>0</v>
      </c>
      <c r="I108" s="7">
        <f>'Yard'!$I$114</f>
        <v>0</v>
      </c>
      <c r="J108" s="7">
        <f>'Yard'!$J$114</f>
        <v>0</v>
      </c>
      <c r="K108" s="9"/>
      <c r="L108" s="9"/>
      <c r="M108" s="7">
        <f>'Yard'!$K$114</f>
        <v>0</v>
      </c>
      <c r="N108" s="7">
        <f>'Yard'!$L$114</f>
        <v>0</v>
      </c>
      <c r="O108" s="7">
        <f>'Yard'!$M$114</f>
        <v>0</v>
      </c>
      <c r="P108" s="7">
        <f>'Yard'!$N$114</f>
        <v>0</v>
      </c>
      <c r="Q108" s="7">
        <f>'Yard'!$O$114</f>
        <v>0</v>
      </c>
      <c r="R108" s="7">
        <f>'Yard'!$P$114</f>
        <v>0</v>
      </c>
      <c r="S108" s="7">
        <f>'Yard'!$Q$114</f>
        <v>0</v>
      </c>
      <c r="T108" s="7">
        <f>'Yard'!$R$114</f>
        <v>0</v>
      </c>
      <c r="U108" s="7">
        <f>'Yard'!$S$114</f>
        <v>0</v>
      </c>
      <c r="V108" s="9"/>
      <c r="W108" s="9"/>
      <c r="X108" s="10"/>
    </row>
    <row r="109" spans="1:24">
      <c r="A109" s="11" t="s">
        <v>184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10"/>
    </row>
    <row r="110" spans="1:24">
      <c r="A110" s="11" t="s">
        <v>185</v>
      </c>
      <c r="B110" s="7">
        <f>'Yard'!$B$115</f>
        <v>0</v>
      </c>
      <c r="C110" s="7">
        <f>'Yard'!$C$115</f>
        <v>0</v>
      </c>
      <c r="D110" s="7">
        <f>'Yard'!$D$115</f>
        <v>0</v>
      </c>
      <c r="E110" s="7">
        <f>'Yard'!$E$115</f>
        <v>0</v>
      </c>
      <c r="F110" s="7">
        <f>'Yard'!$F$115</f>
        <v>0</v>
      </c>
      <c r="G110" s="7">
        <f>'Yard'!$G$115</f>
        <v>0</v>
      </c>
      <c r="H110" s="7">
        <f>'Yard'!$H$115</f>
        <v>0</v>
      </c>
      <c r="I110" s="7">
        <f>'Yard'!$I$115</f>
        <v>0</v>
      </c>
      <c r="J110" s="7">
        <f>'Yard'!$J$115</f>
        <v>0</v>
      </c>
      <c r="K110" s="9"/>
      <c r="L110" s="9"/>
      <c r="M110" s="7">
        <f>'Yard'!$K$115</f>
        <v>0</v>
      </c>
      <c r="N110" s="7">
        <f>'Yard'!$L$115</f>
        <v>0</v>
      </c>
      <c r="O110" s="7">
        <f>'Yard'!$M$115</f>
        <v>0</v>
      </c>
      <c r="P110" s="7">
        <f>'Yard'!$N$115</f>
        <v>0</v>
      </c>
      <c r="Q110" s="7">
        <f>'Yard'!$O$115</f>
        <v>0</v>
      </c>
      <c r="R110" s="7">
        <f>'Yard'!$P$115</f>
        <v>0</v>
      </c>
      <c r="S110" s="7">
        <f>'Yard'!$Q$115</f>
        <v>0</v>
      </c>
      <c r="T110" s="7">
        <f>'Yard'!$R$115</f>
        <v>0</v>
      </c>
      <c r="U110" s="7">
        <f>'Yard'!$S$115</f>
        <v>0</v>
      </c>
      <c r="V110" s="9"/>
      <c r="W110" s="9"/>
      <c r="X110" s="10"/>
    </row>
    <row r="111" spans="1:24">
      <c r="A111" s="11" t="s">
        <v>193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10"/>
    </row>
    <row r="112" spans="1:24">
      <c r="A112" s="11" t="s">
        <v>194</v>
      </c>
      <c r="B112" s="7">
        <f>'Yard'!$B$116</f>
        <v>0</v>
      </c>
      <c r="C112" s="7">
        <f>'Yard'!$C$116</f>
        <v>0</v>
      </c>
      <c r="D112" s="7">
        <f>'Yard'!$D$116</f>
        <v>0</v>
      </c>
      <c r="E112" s="7">
        <f>'Yard'!$E$116</f>
        <v>0</v>
      </c>
      <c r="F112" s="7">
        <f>'Yard'!$F$116</f>
        <v>0</v>
      </c>
      <c r="G112" s="7">
        <f>'Yard'!$G$116</f>
        <v>0</v>
      </c>
      <c r="H112" s="7">
        <f>'Yard'!$H$116</f>
        <v>0</v>
      </c>
      <c r="I112" s="7">
        <f>'Yard'!$I$116</f>
        <v>0</v>
      </c>
      <c r="J112" s="7">
        <f>'Yard'!$J$116</f>
        <v>0</v>
      </c>
      <c r="K112" s="9"/>
      <c r="L112" s="9"/>
      <c r="M112" s="7">
        <f>'Yard'!$K$116</f>
        <v>0</v>
      </c>
      <c r="N112" s="7">
        <f>'Yard'!$L$116</f>
        <v>0</v>
      </c>
      <c r="O112" s="7">
        <f>'Yard'!$M$116</f>
        <v>0</v>
      </c>
      <c r="P112" s="7">
        <f>'Yard'!$N$116</f>
        <v>0</v>
      </c>
      <c r="Q112" s="7">
        <f>'Yard'!$O$116</f>
        <v>0</v>
      </c>
      <c r="R112" s="7">
        <f>'Yard'!$P$116</f>
        <v>0</v>
      </c>
      <c r="S112" s="7">
        <f>'Yard'!$Q$116</f>
        <v>0</v>
      </c>
      <c r="T112" s="7">
        <f>'Yard'!$R$116</f>
        <v>0</v>
      </c>
      <c r="U112" s="7">
        <f>'Yard'!$S$116</f>
        <v>0</v>
      </c>
      <c r="V112" s="9"/>
      <c r="W112" s="9"/>
      <c r="X112" s="10"/>
    </row>
    <row r="114" spans="1:24">
      <c r="A114" s="1" t="s">
        <v>1024</v>
      </c>
    </row>
    <row r="115" spans="1:24">
      <c r="A115" s="2" t="s">
        <v>349</v>
      </c>
    </row>
    <row r="116" spans="1:24">
      <c r="A116" s="12" t="s">
        <v>1025</v>
      </c>
    </row>
    <row r="117" spans="1:24">
      <c r="A117" s="12" t="s">
        <v>1026</v>
      </c>
    </row>
    <row r="118" spans="1:24">
      <c r="A118" s="12" t="s">
        <v>1027</v>
      </c>
    </row>
    <row r="119" spans="1:24">
      <c r="A119" s="12" t="s">
        <v>1028</v>
      </c>
    </row>
    <row r="120" spans="1:24">
      <c r="A120" s="12" t="s">
        <v>1029</v>
      </c>
    </row>
    <row r="121" spans="1:24">
      <c r="A121" s="2" t="s">
        <v>438</v>
      </c>
    </row>
    <row r="123" spans="1:24">
      <c r="B123" s="3" t="s">
        <v>140</v>
      </c>
      <c r="C123" s="3" t="s">
        <v>304</v>
      </c>
      <c r="D123" s="3" t="s">
        <v>305</v>
      </c>
      <c r="E123" s="3" t="s">
        <v>306</v>
      </c>
      <c r="F123" s="3" t="s">
        <v>307</v>
      </c>
      <c r="G123" s="3" t="s">
        <v>308</v>
      </c>
      <c r="H123" s="3" t="s">
        <v>309</v>
      </c>
      <c r="I123" s="3" t="s">
        <v>310</v>
      </c>
      <c r="J123" s="3" t="s">
        <v>311</v>
      </c>
      <c r="K123" s="3" t="s">
        <v>461</v>
      </c>
      <c r="L123" s="3" t="s">
        <v>473</v>
      </c>
      <c r="M123" s="3" t="s">
        <v>292</v>
      </c>
      <c r="N123" s="3" t="s">
        <v>810</v>
      </c>
      <c r="O123" s="3" t="s">
        <v>811</v>
      </c>
      <c r="P123" s="3" t="s">
        <v>812</v>
      </c>
      <c r="Q123" s="3" t="s">
        <v>813</v>
      </c>
      <c r="R123" s="3" t="s">
        <v>814</v>
      </c>
      <c r="S123" s="3" t="s">
        <v>815</v>
      </c>
      <c r="T123" s="3" t="s">
        <v>816</v>
      </c>
      <c r="U123" s="3" t="s">
        <v>817</v>
      </c>
      <c r="V123" s="3" t="s">
        <v>818</v>
      </c>
      <c r="W123" s="3" t="s">
        <v>819</v>
      </c>
    </row>
    <row r="124" spans="1:24">
      <c r="A124" s="11" t="s">
        <v>172</v>
      </c>
      <c r="B124" s="7">
        <f>'NHH'!$B$88</f>
        <v>0</v>
      </c>
      <c r="C124" s="7">
        <f>'NHH'!$C$88</f>
        <v>0</v>
      </c>
      <c r="D124" s="7">
        <f>'NHH'!$D$88</f>
        <v>0</v>
      </c>
      <c r="E124" s="7">
        <f>'NHH'!$E$88</f>
        <v>0</v>
      </c>
      <c r="F124" s="7">
        <f>'NHH'!$F$88</f>
        <v>0</v>
      </c>
      <c r="G124" s="7">
        <f>'NHH'!$G$88</f>
        <v>0</v>
      </c>
      <c r="H124" s="7">
        <f>'NHH'!$H$88</f>
        <v>0</v>
      </c>
      <c r="I124" s="7">
        <f>'NHH'!$I$88</f>
        <v>0</v>
      </c>
      <c r="J124" s="7">
        <f>'NHH'!$J$88</f>
        <v>0</v>
      </c>
      <c r="K124" s="7">
        <f>'SM'!$B$102</f>
        <v>0</v>
      </c>
      <c r="L124" s="7">
        <f>'SM'!$C$102</f>
        <v>0</v>
      </c>
      <c r="M124" s="7">
        <f>'NHH'!$K$88</f>
        <v>0</v>
      </c>
      <c r="N124" s="7">
        <f>'NHH'!$L$88</f>
        <v>0</v>
      </c>
      <c r="O124" s="7">
        <f>'NHH'!$M$88</f>
        <v>0</v>
      </c>
      <c r="P124" s="7">
        <f>'NHH'!$N$88</f>
        <v>0</v>
      </c>
      <c r="Q124" s="7">
        <f>'NHH'!$O$88</f>
        <v>0</v>
      </c>
      <c r="R124" s="7">
        <f>'NHH'!$P$88</f>
        <v>0</v>
      </c>
      <c r="S124" s="7">
        <f>'NHH'!$Q$88</f>
        <v>0</v>
      </c>
      <c r="T124" s="7">
        <f>'NHH'!$R$88</f>
        <v>0</v>
      </c>
      <c r="U124" s="7">
        <f>'NHH'!$S$88</f>
        <v>0</v>
      </c>
      <c r="V124" s="7">
        <f>'Otex'!$B$121</f>
        <v>0</v>
      </c>
      <c r="W124" s="7">
        <f>'Otex'!$C$121</f>
        <v>0</v>
      </c>
      <c r="X124" s="10"/>
    </row>
    <row r="125" spans="1:24">
      <c r="A125" s="11" t="s">
        <v>173</v>
      </c>
      <c r="B125" s="7">
        <f>'NHH'!$B$89</f>
        <v>0</v>
      </c>
      <c r="C125" s="7">
        <f>'NHH'!$C$89</f>
        <v>0</v>
      </c>
      <c r="D125" s="7">
        <f>'NHH'!$D$89</f>
        <v>0</v>
      </c>
      <c r="E125" s="7">
        <f>'NHH'!$E$89</f>
        <v>0</v>
      </c>
      <c r="F125" s="7">
        <f>'NHH'!$F$89</f>
        <v>0</v>
      </c>
      <c r="G125" s="7">
        <f>'NHH'!$G$89</f>
        <v>0</v>
      </c>
      <c r="H125" s="7">
        <f>'NHH'!$H$89</f>
        <v>0</v>
      </c>
      <c r="I125" s="7">
        <f>'NHH'!$I$89</f>
        <v>0</v>
      </c>
      <c r="J125" s="7">
        <f>'NHH'!$J$89</f>
        <v>0</v>
      </c>
      <c r="K125" s="7">
        <f>'SM'!$B$103</f>
        <v>0</v>
      </c>
      <c r="L125" s="7">
        <f>'SM'!$C$103</f>
        <v>0</v>
      </c>
      <c r="M125" s="7">
        <f>'NHH'!$K$89</f>
        <v>0</v>
      </c>
      <c r="N125" s="7">
        <f>'NHH'!$L$89</f>
        <v>0</v>
      </c>
      <c r="O125" s="7">
        <f>'NHH'!$M$89</f>
        <v>0</v>
      </c>
      <c r="P125" s="7">
        <f>'NHH'!$N$89</f>
        <v>0</v>
      </c>
      <c r="Q125" s="7">
        <f>'NHH'!$O$89</f>
        <v>0</v>
      </c>
      <c r="R125" s="7">
        <f>'NHH'!$P$89</f>
        <v>0</v>
      </c>
      <c r="S125" s="7">
        <f>'NHH'!$Q$89</f>
        <v>0</v>
      </c>
      <c r="T125" s="7">
        <f>'NHH'!$R$89</f>
        <v>0</v>
      </c>
      <c r="U125" s="7">
        <f>'NHH'!$S$89</f>
        <v>0</v>
      </c>
      <c r="V125" s="7">
        <f>'Otex'!$B$122</f>
        <v>0</v>
      </c>
      <c r="W125" s="7">
        <f>'Otex'!$C$122</f>
        <v>0</v>
      </c>
      <c r="X125" s="10"/>
    </row>
    <row r="126" spans="1:24">
      <c r="A126" s="11" t="s">
        <v>210</v>
      </c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10"/>
    </row>
    <row r="127" spans="1:24">
      <c r="A127" s="11" t="s">
        <v>174</v>
      </c>
      <c r="B127" s="7">
        <f>'NHH'!$B$90</f>
        <v>0</v>
      </c>
      <c r="C127" s="7">
        <f>'NHH'!$C$90</f>
        <v>0</v>
      </c>
      <c r="D127" s="7">
        <f>'NHH'!$D$90</f>
        <v>0</v>
      </c>
      <c r="E127" s="7">
        <f>'NHH'!$E$90</f>
        <v>0</v>
      </c>
      <c r="F127" s="7">
        <f>'NHH'!$F$90</f>
        <v>0</v>
      </c>
      <c r="G127" s="7">
        <f>'NHH'!$G$90</f>
        <v>0</v>
      </c>
      <c r="H127" s="7">
        <f>'NHH'!$H$90</f>
        <v>0</v>
      </c>
      <c r="I127" s="7">
        <f>'NHH'!$I$90</f>
        <v>0</v>
      </c>
      <c r="J127" s="7">
        <f>'NHH'!$J$90</f>
        <v>0</v>
      </c>
      <c r="K127" s="7">
        <f>'SM'!$B$105</f>
        <v>0</v>
      </c>
      <c r="L127" s="7">
        <f>'SM'!$C$105</f>
        <v>0</v>
      </c>
      <c r="M127" s="7">
        <f>'NHH'!$K$90</f>
        <v>0</v>
      </c>
      <c r="N127" s="7">
        <f>'NHH'!$L$90</f>
        <v>0</v>
      </c>
      <c r="O127" s="7">
        <f>'NHH'!$M$90</f>
        <v>0</v>
      </c>
      <c r="P127" s="7">
        <f>'NHH'!$N$90</f>
        <v>0</v>
      </c>
      <c r="Q127" s="7">
        <f>'NHH'!$O$90</f>
        <v>0</v>
      </c>
      <c r="R127" s="7">
        <f>'NHH'!$P$90</f>
        <v>0</v>
      </c>
      <c r="S127" s="7">
        <f>'NHH'!$Q$90</f>
        <v>0</v>
      </c>
      <c r="T127" s="7">
        <f>'NHH'!$R$90</f>
        <v>0</v>
      </c>
      <c r="U127" s="7">
        <f>'NHH'!$S$90</f>
        <v>0</v>
      </c>
      <c r="V127" s="7">
        <f>'Otex'!$B$124</f>
        <v>0</v>
      </c>
      <c r="W127" s="7">
        <f>'Otex'!$C$124</f>
        <v>0</v>
      </c>
      <c r="X127" s="10"/>
    </row>
    <row r="128" spans="1:24">
      <c r="A128" s="11" t="s">
        <v>175</v>
      </c>
      <c r="B128" s="7">
        <f>'NHH'!$B$91</f>
        <v>0</v>
      </c>
      <c r="C128" s="7">
        <f>'NHH'!$C$91</f>
        <v>0</v>
      </c>
      <c r="D128" s="7">
        <f>'NHH'!$D$91</f>
        <v>0</v>
      </c>
      <c r="E128" s="7">
        <f>'NHH'!$E$91</f>
        <v>0</v>
      </c>
      <c r="F128" s="7">
        <f>'NHH'!$F$91</f>
        <v>0</v>
      </c>
      <c r="G128" s="7">
        <f>'NHH'!$G$91</f>
        <v>0</v>
      </c>
      <c r="H128" s="7">
        <f>'NHH'!$H$91</f>
        <v>0</v>
      </c>
      <c r="I128" s="7">
        <f>'NHH'!$I$91</f>
        <v>0</v>
      </c>
      <c r="J128" s="7">
        <f>'NHH'!$J$91</f>
        <v>0</v>
      </c>
      <c r="K128" s="7">
        <f>'SM'!$B$106</f>
        <v>0</v>
      </c>
      <c r="L128" s="7">
        <f>'SM'!$C$106</f>
        <v>0</v>
      </c>
      <c r="M128" s="7">
        <f>'NHH'!$K$91</f>
        <v>0</v>
      </c>
      <c r="N128" s="7">
        <f>'NHH'!$L$91</f>
        <v>0</v>
      </c>
      <c r="O128" s="7">
        <f>'NHH'!$M$91</f>
        <v>0</v>
      </c>
      <c r="P128" s="7">
        <f>'NHH'!$N$91</f>
        <v>0</v>
      </c>
      <c r="Q128" s="7">
        <f>'NHH'!$O$91</f>
        <v>0</v>
      </c>
      <c r="R128" s="7">
        <f>'NHH'!$P$91</f>
        <v>0</v>
      </c>
      <c r="S128" s="7">
        <f>'NHH'!$Q$91</f>
        <v>0</v>
      </c>
      <c r="T128" s="7">
        <f>'NHH'!$R$91</f>
        <v>0</v>
      </c>
      <c r="U128" s="7">
        <f>'NHH'!$S$91</f>
        <v>0</v>
      </c>
      <c r="V128" s="7">
        <f>'Otex'!$B$125</f>
        <v>0</v>
      </c>
      <c r="W128" s="7">
        <f>'Otex'!$C$125</f>
        <v>0</v>
      </c>
      <c r="X128" s="10"/>
    </row>
    <row r="129" spans="1:24">
      <c r="A129" s="11" t="s">
        <v>211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10"/>
    </row>
    <row r="130" spans="1:24">
      <c r="A130" s="11" t="s">
        <v>176</v>
      </c>
      <c r="B130" s="7">
        <f>'NHH'!$B$92</f>
        <v>0</v>
      </c>
      <c r="C130" s="7">
        <f>'NHH'!$C$92</f>
        <v>0</v>
      </c>
      <c r="D130" s="7">
        <f>'NHH'!$D$92</f>
        <v>0</v>
      </c>
      <c r="E130" s="7">
        <f>'NHH'!$E$92</f>
        <v>0</v>
      </c>
      <c r="F130" s="7">
        <f>'NHH'!$F$92</f>
        <v>0</v>
      </c>
      <c r="G130" s="7">
        <f>'NHH'!$G$92</f>
        <v>0</v>
      </c>
      <c r="H130" s="7">
        <f>'NHH'!$H$92</f>
        <v>0</v>
      </c>
      <c r="I130" s="7">
        <f>'NHH'!$I$92</f>
        <v>0</v>
      </c>
      <c r="J130" s="7">
        <f>'NHH'!$J$92</f>
        <v>0</v>
      </c>
      <c r="K130" s="7">
        <f>'SM'!$B$108</f>
        <v>0</v>
      </c>
      <c r="L130" s="7">
        <f>'SM'!$C$108</f>
        <v>0</v>
      </c>
      <c r="M130" s="7">
        <f>'NHH'!$K$92</f>
        <v>0</v>
      </c>
      <c r="N130" s="7">
        <f>'NHH'!$L$92</f>
        <v>0</v>
      </c>
      <c r="O130" s="7">
        <f>'NHH'!$M$92</f>
        <v>0</v>
      </c>
      <c r="P130" s="7">
        <f>'NHH'!$N$92</f>
        <v>0</v>
      </c>
      <c r="Q130" s="7">
        <f>'NHH'!$O$92</f>
        <v>0</v>
      </c>
      <c r="R130" s="7">
        <f>'NHH'!$P$92</f>
        <v>0</v>
      </c>
      <c r="S130" s="7">
        <f>'NHH'!$Q$92</f>
        <v>0</v>
      </c>
      <c r="T130" s="7">
        <f>'NHH'!$R$92</f>
        <v>0</v>
      </c>
      <c r="U130" s="7">
        <f>'NHH'!$S$92</f>
        <v>0</v>
      </c>
      <c r="V130" s="7">
        <f>'Otex'!$B$127</f>
        <v>0</v>
      </c>
      <c r="W130" s="7">
        <f>'Otex'!$C$127</f>
        <v>0</v>
      </c>
      <c r="X130" s="10"/>
    </row>
    <row r="131" spans="1:24">
      <c r="A131" s="11" t="s">
        <v>177</v>
      </c>
      <c r="B131" s="7">
        <f>'NHH'!$B$93</f>
        <v>0</v>
      </c>
      <c r="C131" s="7">
        <f>'NHH'!$C$93</f>
        <v>0</v>
      </c>
      <c r="D131" s="7">
        <f>'NHH'!$D$93</f>
        <v>0</v>
      </c>
      <c r="E131" s="7">
        <f>'NHH'!$E$93</f>
        <v>0</v>
      </c>
      <c r="F131" s="7">
        <f>'NHH'!$F$93</f>
        <v>0</v>
      </c>
      <c r="G131" s="7">
        <f>'NHH'!$G$93</f>
        <v>0</v>
      </c>
      <c r="H131" s="7">
        <f>'NHH'!$H$93</f>
        <v>0</v>
      </c>
      <c r="I131" s="7">
        <f>'NHH'!$I$93</f>
        <v>0</v>
      </c>
      <c r="J131" s="7">
        <f>'NHH'!$J$93</f>
        <v>0</v>
      </c>
      <c r="K131" s="7">
        <f>'SM'!$B$109</f>
        <v>0</v>
      </c>
      <c r="L131" s="7">
        <f>'SM'!$C$109</f>
        <v>0</v>
      </c>
      <c r="M131" s="7">
        <f>'NHH'!$K$93</f>
        <v>0</v>
      </c>
      <c r="N131" s="7">
        <f>'NHH'!$L$93</f>
        <v>0</v>
      </c>
      <c r="O131" s="7">
        <f>'NHH'!$M$93</f>
        <v>0</v>
      </c>
      <c r="P131" s="7">
        <f>'NHH'!$N$93</f>
        <v>0</v>
      </c>
      <c r="Q131" s="7">
        <f>'NHH'!$O$93</f>
        <v>0</v>
      </c>
      <c r="R131" s="7">
        <f>'NHH'!$P$93</f>
        <v>0</v>
      </c>
      <c r="S131" s="7">
        <f>'NHH'!$Q$93</f>
        <v>0</v>
      </c>
      <c r="T131" s="7">
        <f>'NHH'!$R$93</f>
        <v>0</v>
      </c>
      <c r="U131" s="7">
        <f>'NHH'!$S$93</f>
        <v>0</v>
      </c>
      <c r="V131" s="7">
        <f>'Otex'!$B$128</f>
        <v>0</v>
      </c>
      <c r="W131" s="7">
        <f>'Otex'!$C$128</f>
        <v>0</v>
      </c>
      <c r="X131" s="10"/>
    </row>
    <row r="132" spans="1:24">
      <c r="A132" s="11" t="s">
        <v>191</v>
      </c>
      <c r="B132" s="7">
        <f>'NHH'!$B$94</f>
        <v>0</v>
      </c>
      <c r="C132" s="7">
        <f>'NHH'!$C$94</f>
        <v>0</v>
      </c>
      <c r="D132" s="7">
        <f>'NHH'!$D$94</f>
        <v>0</v>
      </c>
      <c r="E132" s="7">
        <f>'NHH'!$E$94</f>
        <v>0</v>
      </c>
      <c r="F132" s="7">
        <f>'NHH'!$F$94</f>
        <v>0</v>
      </c>
      <c r="G132" s="7">
        <f>'NHH'!$G$94</f>
        <v>0</v>
      </c>
      <c r="H132" s="7">
        <f>'NHH'!$H$94</f>
        <v>0</v>
      </c>
      <c r="I132" s="7">
        <f>'NHH'!$I$94</f>
        <v>0</v>
      </c>
      <c r="J132" s="7">
        <f>'NHH'!$J$94</f>
        <v>0</v>
      </c>
      <c r="K132" s="7">
        <f>'SM'!$B$110</f>
        <v>0</v>
      </c>
      <c r="L132" s="7">
        <f>'SM'!$C$110</f>
        <v>0</v>
      </c>
      <c r="M132" s="7">
        <f>'NHH'!$K$94</f>
        <v>0</v>
      </c>
      <c r="N132" s="7">
        <f>'NHH'!$L$94</f>
        <v>0</v>
      </c>
      <c r="O132" s="7">
        <f>'NHH'!$M$94</f>
        <v>0</v>
      </c>
      <c r="P132" s="7">
        <f>'NHH'!$N$94</f>
        <v>0</v>
      </c>
      <c r="Q132" s="7">
        <f>'NHH'!$O$94</f>
        <v>0</v>
      </c>
      <c r="R132" s="7">
        <f>'NHH'!$P$94</f>
        <v>0</v>
      </c>
      <c r="S132" s="7">
        <f>'NHH'!$Q$94</f>
        <v>0</v>
      </c>
      <c r="T132" s="7">
        <f>'NHH'!$R$94</f>
        <v>0</v>
      </c>
      <c r="U132" s="7">
        <f>'NHH'!$S$94</f>
        <v>0</v>
      </c>
      <c r="V132" s="7">
        <f>'Otex'!$B$129</f>
        <v>0</v>
      </c>
      <c r="W132" s="7">
        <f>'Otex'!$C$129</f>
        <v>0</v>
      </c>
      <c r="X132" s="10"/>
    </row>
    <row r="133" spans="1:24">
      <c r="A133" s="11" t="s">
        <v>178</v>
      </c>
      <c r="B133" s="9"/>
      <c r="C133" s="9"/>
      <c r="D133" s="9"/>
      <c r="E133" s="9"/>
      <c r="F133" s="9"/>
      <c r="G133" s="9"/>
      <c r="H133" s="9"/>
      <c r="I133" s="9"/>
      <c r="J133" s="9"/>
      <c r="K133" s="7">
        <f>'SM'!$B$111</f>
        <v>0</v>
      </c>
      <c r="L133" s="7">
        <f>'SM'!$C$111</f>
        <v>0</v>
      </c>
      <c r="M133" s="9"/>
      <c r="N133" s="9"/>
      <c r="O133" s="9"/>
      <c r="P133" s="9"/>
      <c r="Q133" s="9"/>
      <c r="R133" s="9"/>
      <c r="S133" s="9"/>
      <c r="T133" s="9"/>
      <c r="U133" s="9"/>
      <c r="V133" s="7">
        <f>'Otex'!$B$130</f>
        <v>0</v>
      </c>
      <c r="W133" s="7">
        <f>'Otex'!$C$130</f>
        <v>0</v>
      </c>
      <c r="X133" s="10"/>
    </row>
    <row r="134" spans="1:24">
      <c r="A134" s="11" t="s">
        <v>179</v>
      </c>
      <c r="B134" s="9"/>
      <c r="C134" s="9"/>
      <c r="D134" s="9"/>
      <c r="E134" s="9"/>
      <c r="F134" s="9"/>
      <c r="G134" s="9"/>
      <c r="H134" s="9"/>
      <c r="I134" s="9"/>
      <c r="J134" s="9"/>
      <c r="K134" s="7">
        <f>'SM'!$B$112</f>
        <v>0</v>
      </c>
      <c r="L134" s="7">
        <f>'SM'!$C$112</f>
        <v>0</v>
      </c>
      <c r="M134" s="9"/>
      <c r="N134" s="9"/>
      <c r="O134" s="9"/>
      <c r="P134" s="9"/>
      <c r="Q134" s="9"/>
      <c r="R134" s="9"/>
      <c r="S134" s="9"/>
      <c r="T134" s="9"/>
      <c r="U134" s="9"/>
      <c r="V134" s="7">
        <f>'Otex'!$B$131</f>
        <v>0</v>
      </c>
      <c r="W134" s="7">
        <f>'Otex'!$C$131</f>
        <v>0</v>
      </c>
      <c r="X134" s="10"/>
    </row>
    <row r="135" spans="1:24">
      <c r="A135" s="11" t="s">
        <v>192</v>
      </c>
      <c r="B135" s="9"/>
      <c r="C135" s="9"/>
      <c r="D135" s="9"/>
      <c r="E135" s="9"/>
      <c r="F135" s="9"/>
      <c r="G135" s="9"/>
      <c r="H135" s="9"/>
      <c r="I135" s="9"/>
      <c r="J135" s="9"/>
      <c r="K135" s="7">
        <f>'SM'!$B$113</f>
        <v>0</v>
      </c>
      <c r="L135" s="7">
        <f>'SM'!$C$113</f>
        <v>0</v>
      </c>
      <c r="M135" s="9"/>
      <c r="N135" s="9"/>
      <c r="O135" s="9"/>
      <c r="P135" s="9"/>
      <c r="Q135" s="9"/>
      <c r="R135" s="9"/>
      <c r="S135" s="9"/>
      <c r="T135" s="9"/>
      <c r="U135" s="9"/>
      <c r="V135" s="7">
        <f>'Otex'!$B$132</f>
        <v>0</v>
      </c>
      <c r="W135" s="7">
        <f>'Otex'!$C$132</f>
        <v>0</v>
      </c>
      <c r="X135" s="10"/>
    </row>
    <row r="136" spans="1:24">
      <c r="A136" s="11" t="s">
        <v>212</v>
      </c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10"/>
    </row>
    <row r="137" spans="1:24">
      <c r="A137" s="11" t="s">
        <v>213</v>
      </c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10"/>
    </row>
    <row r="138" spans="1:24">
      <c r="A138" s="11" t="s">
        <v>214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10"/>
    </row>
    <row r="139" spans="1:24">
      <c r="A139" s="11" t="s">
        <v>215</v>
      </c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10"/>
    </row>
    <row r="140" spans="1:24">
      <c r="A140" s="11" t="s">
        <v>216</v>
      </c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10"/>
    </row>
    <row r="141" spans="1:24">
      <c r="A141" s="11" t="s">
        <v>180</v>
      </c>
      <c r="B141" s="9"/>
      <c r="C141" s="9"/>
      <c r="D141" s="9"/>
      <c r="E141" s="9"/>
      <c r="F141" s="9"/>
      <c r="G141" s="9"/>
      <c r="H141" s="9"/>
      <c r="I141" s="9"/>
      <c r="J141" s="9"/>
      <c r="K141" s="7">
        <f>'SM'!$B$119</f>
        <v>0</v>
      </c>
      <c r="L141" s="7">
        <f>'SM'!$C$119</f>
        <v>0</v>
      </c>
      <c r="M141" s="9"/>
      <c r="N141" s="9"/>
      <c r="O141" s="9"/>
      <c r="P141" s="9"/>
      <c r="Q141" s="9"/>
      <c r="R141" s="9"/>
      <c r="S141" s="9"/>
      <c r="T141" s="9"/>
      <c r="U141" s="9"/>
      <c r="V141" s="7">
        <f>'Otex'!$B$138</f>
        <v>0</v>
      </c>
      <c r="W141" s="7">
        <f>'Otex'!$C$138</f>
        <v>0</v>
      </c>
      <c r="X141" s="10"/>
    </row>
    <row r="142" spans="1:24">
      <c r="A142" s="11" t="s">
        <v>181</v>
      </c>
      <c r="B142" s="9"/>
      <c r="C142" s="9"/>
      <c r="D142" s="9"/>
      <c r="E142" s="9"/>
      <c r="F142" s="9"/>
      <c r="G142" s="9"/>
      <c r="H142" s="9"/>
      <c r="I142" s="9"/>
      <c r="J142" s="9"/>
      <c r="K142" s="7">
        <f>'SM'!$B$120</f>
        <v>0</v>
      </c>
      <c r="L142" s="7">
        <f>'SM'!$C$120</f>
        <v>0</v>
      </c>
      <c r="M142" s="9"/>
      <c r="N142" s="9"/>
      <c r="O142" s="9"/>
      <c r="P142" s="9"/>
      <c r="Q142" s="9"/>
      <c r="R142" s="9"/>
      <c r="S142" s="9"/>
      <c r="T142" s="9"/>
      <c r="U142" s="9"/>
      <c r="V142" s="7">
        <f>'Otex'!$B$139</f>
        <v>0</v>
      </c>
      <c r="W142" s="7">
        <f>'Otex'!$C$139</f>
        <v>0</v>
      </c>
      <c r="X142" s="10"/>
    </row>
    <row r="143" spans="1:24">
      <c r="A143" s="11" t="s">
        <v>182</v>
      </c>
      <c r="B143" s="9"/>
      <c r="C143" s="9"/>
      <c r="D143" s="9"/>
      <c r="E143" s="9"/>
      <c r="F143" s="9"/>
      <c r="G143" s="9"/>
      <c r="H143" s="9"/>
      <c r="I143" s="9"/>
      <c r="J143" s="9"/>
      <c r="K143" s="7">
        <f>'SM'!$B$121</f>
        <v>0</v>
      </c>
      <c r="L143" s="7">
        <f>'SM'!$C$121</f>
        <v>0</v>
      </c>
      <c r="M143" s="9"/>
      <c r="N143" s="9"/>
      <c r="O143" s="9"/>
      <c r="P143" s="9"/>
      <c r="Q143" s="9"/>
      <c r="R143" s="9"/>
      <c r="S143" s="9"/>
      <c r="T143" s="9"/>
      <c r="U143" s="9"/>
      <c r="V143" s="7">
        <f>'Otex'!$B$140</f>
        <v>0</v>
      </c>
      <c r="W143" s="7">
        <f>'Otex'!$C$140</f>
        <v>0</v>
      </c>
      <c r="X143" s="10"/>
    </row>
    <row r="144" spans="1:24">
      <c r="A144" s="11" t="s">
        <v>183</v>
      </c>
      <c r="B144" s="9"/>
      <c r="C144" s="9"/>
      <c r="D144" s="9"/>
      <c r="E144" s="9"/>
      <c r="F144" s="9"/>
      <c r="G144" s="9"/>
      <c r="H144" s="9"/>
      <c r="I144" s="9"/>
      <c r="J144" s="9"/>
      <c r="K144" s="7">
        <f>'SM'!$B$122</f>
        <v>0</v>
      </c>
      <c r="L144" s="7">
        <f>'SM'!$C$122</f>
        <v>0</v>
      </c>
      <c r="M144" s="9"/>
      <c r="N144" s="9"/>
      <c r="O144" s="9"/>
      <c r="P144" s="9"/>
      <c r="Q144" s="9"/>
      <c r="R144" s="9"/>
      <c r="S144" s="9"/>
      <c r="T144" s="9"/>
      <c r="U144" s="9"/>
      <c r="V144" s="7">
        <f>'Otex'!$B$141</f>
        <v>0</v>
      </c>
      <c r="W144" s="7">
        <f>'Otex'!$C$141</f>
        <v>0</v>
      </c>
      <c r="X144" s="10"/>
    </row>
    <row r="145" spans="1:24">
      <c r="A145" s="11" t="s">
        <v>184</v>
      </c>
      <c r="B145" s="9"/>
      <c r="C145" s="9"/>
      <c r="D145" s="9"/>
      <c r="E145" s="9"/>
      <c r="F145" s="9"/>
      <c r="G145" s="9"/>
      <c r="H145" s="9"/>
      <c r="I145" s="9"/>
      <c r="J145" s="9"/>
      <c r="K145" s="7">
        <f>'SM'!$B$123</f>
        <v>0</v>
      </c>
      <c r="L145" s="7">
        <f>'SM'!$C$123</f>
        <v>0</v>
      </c>
      <c r="M145" s="9"/>
      <c r="N145" s="9"/>
      <c r="O145" s="9"/>
      <c r="P145" s="9"/>
      <c r="Q145" s="9"/>
      <c r="R145" s="9"/>
      <c r="S145" s="9"/>
      <c r="T145" s="9"/>
      <c r="U145" s="9"/>
      <c r="V145" s="7">
        <f>'Otex'!$B$142</f>
        <v>0</v>
      </c>
      <c r="W145" s="7">
        <f>'Otex'!$C$142</f>
        <v>0</v>
      </c>
      <c r="X145" s="10"/>
    </row>
    <row r="146" spans="1:24">
      <c r="A146" s="11" t="s">
        <v>185</v>
      </c>
      <c r="B146" s="9"/>
      <c r="C146" s="9"/>
      <c r="D146" s="9"/>
      <c r="E146" s="9"/>
      <c r="F146" s="9"/>
      <c r="G146" s="9"/>
      <c r="H146" s="9"/>
      <c r="I146" s="9"/>
      <c r="J146" s="9"/>
      <c r="K146" s="7">
        <f>'SM'!$B$124</f>
        <v>0</v>
      </c>
      <c r="L146" s="7">
        <f>'SM'!$C$124</f>
        <v>0</v>
      </c>
      <c r="M146" s="9"/>
      <c r="N146" s="9"/>
      <c r="O146" s="9"/>
      <c r="P146" s="9"/>
      <c r="Q146" s="9"/>
      <c r="R146" s="9"/>
      <c r="S146" s="9"/>
      <c r="T146" s="9"/>
      <c r="U146" s="9"/>
      <c r="V146" s="7">
        <f>'Otex'!$B$143</f>
        <v>0</v>
      </c>
      <c r="W146" s="7">
        <f>'Otex'!$C$143</f>
        <v>0</v>
      </c>
      <c r="X146" s="10"/>
    </row>
    <row r="147" spans="1:24">
      <c r="A147" s="11" t="s">
        <v>193</v>
      </c>
      <c r="B147" s="9"/>
      <c r="C147" s="9"/>
      <c r="D147" s="9"/>
      <c r="E147" s="9"/>
      <c r="F147" s="9"/>
      <c r="G147" s="9"/>
      <c r="H147" s="9"/>
      <c r="I147" s="9"/>
      <c r="J147" s="9"/>
      <c r="K147" s="7">
        <f>'SM'!$B$125</f>
        <v>0</v>
      </c>
      <c r="L147" s="7">
        <f>'SM'!$C$125</f>
        <v>0</v>
      </c>
      <c r="M147" s="9"/>
      <c r="N147" s="9"/>
      <c r="O147" s="9"/>
      <c r="P147" s="9"/>
      <c r="Q147" s="9"/>
      <c r="R147" s="9"/>
      <c r="S147" s="9"/>
      <c r="T147" s="9"/>
      <c r="U147" s="9"/>
      <c r="V147" s="7">
        <f>'Otex'!$B$144</f>
        <v>0</v>
      </c>
      <c r="W147" s="7">
        <f>'Otex'!$C$144</f>
        <v>0</v>
      </c>
      <c r="X147" s="10"/>
    </row>
    <row r="148" spans="1:24">
      <c r="A148" s="11" t="s">
        <v>194</v>
      </c>
      <c r="B148" s="9"/>
      <c r="C148" s="9"/>
      <c r="D148" s="9"/>
      <c r="E148" s="9"/>
      <c r="F148" s="9"/>
      <c r="G148" s="9"/>
      <c r="H148" s="9"/>
      <c r="I148" s="9"/>
      <c r="J148" s="9"/>
      <c r="K148" s="7">
        <f>'SM'!$B$126</f>
        <v>0</v>
      </c>
      <c r="L148" s="7">
        <f>'SM'!$C$126</f>
        <v>0</v>
      </c>
      <c r="M148" s="9"/>
      <c r="N148" s="9"/>
      <c r="O148" s="9"/>
      <c r="P148" s="9"/>
      <c r="Q148" s="9"/>
      <c r="R148" s="9"/>
      <c r="S148" s="9"/>
      <c r="T148" s="9"/>
      <c r="U148" s="9"/>
      <c r="V148" s="7">
        <f>'Otex'!$B$145</f>
        <v>0</v>
      </c>
      <c r="W148" s="7">
        <f>'Otex'!$C$145</f>
        <v>0</v>
      </c>
      <c r="X148" s="10"/>
    </row>
    <row r="150" spans="1:24">
      <c r="A150" s="1" t="s">
        <v>1030</v>
      </c>
    </row>
    <row r="151" spans="1:24">
      <c r="A151" s="2" t="s">
        <v>349</v>
      </c>
    </row>
    <row r="152" spans="1:24">
      <c r="A152" s="12" t="s">
        <v>1031</v>
      </c>
    </row>
    <row r="153" spans="1:24">
      <c r="A153" s="2" t="s">
        <v>827</v>
      </c>
    </row>
    <row r="155" spans="1:24">
      <c r="B155" s="3" t="s">
        <v>140</v>
      </c>
      <c r="C155" s="3" t="s">
        <v>304</v>
      </c>
      <c r="D155" s="3" t="s">
        <v>305</v>
      </c>
      <c r="E155" s="3" t="s">
        <v>306</v>
      </c>
      <c r="F155" s="3" t="s">
        <v>307</v>
      </c>
      <c r="G155" s="3" t="s">
        <v>308</v>
      </c>
      <c r="H155" s="3" t="s">
        <v>309</v>
      </c>
      <c r="I155" s="3" t="s">
        <v>310</v>
      </c>
      <c r="J155" s="3" t="s">
        <v>311</v>
      </c>
      <c r="K155" s="3" t="s">
        <v>461</v>
      </c>
      <c r="L155" s="3" t="s">
        <v>473</v>
      </c>
      <c r="M155" s="3" t="s">
        <v>292</v>
      </c>
      <c r="N155" s="3" t="s">
        <v>810</v>
      </c>
      <c r="O155" s="3" t="s">
        <v>811</v>
      </c>
      <c r="P155" s="3" t="s">
        <v>812</v>
      </c>
      <c r="Q155" s="3" t="s">
        <v>813</v>
      </c>
      <c r="R155" s="3" t="s">
        <v>814</v>
      </c>
      <c r="S155" s="3" t="s">
        <v>815</v>
      </c>
      <c r="T155" s="3" t="s">
        <v>816</v>
      </c>
      <c r="U155" s="3" t="s">
        <v>817</v>
      </c>
      <c r="V155" s="3" t="s">
        <v>818</v>
      </c>
      <c r="W155" s="3" t="s">
        <v>819</v>
      </c>
    </row>
    <row r="156" spans="1:24">
      <c r="A156" s="11" t="s">
        <v>172</v>
      </c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10"/>
    </row>
    <row r="157" spans="1:24">
      <c r="A157" s="11" t="s">
        <v>173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10"/>
    </row>
    <row r="158" spans="1:24">
      <c r="A158" s="11" t="s">
        <v>210</v>
      </c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10"/>
    </row>
    <row r="159" spans="1:24">
      <c r="A159" s="11" t="s">
        <v>174</v>
      </c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10"/>
    </row>
    <row r="160" spans="1:24">
      <c r="A160" s="11" t="s">
        <v>175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10"/>
    </row>
    <row r="161" spans="1:24">
      <c r="A161" s="11" t="s">
        <v>211</v>
      </c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10"/>
    </row>
    <row r="162" spans="1:24">
      <c r="A162" s="11" t="s">
        <v>176</v>
      </c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10"/>
    </row>
    <row r="163" spans="1:24">
      <c r="A163" s="11" t="s">
        <v>177</v>
      </c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10"/>
    </row>
    <row r="164" spans="1:24">
      <c r="A164" s="11" t="s">
        <v>191</v>
      </c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10"/>
    </row>
    <row r="165" spans="1:24">
      <c r="A165" s="11" t="s">
        <v>178</v>
      </c>
      <c r="B165" s="7">
        <f>'Standing'!$B$34</f>
        <v>0</v>
      </c>
      <c r="C165" s="7">
        <f>'Standing'!$C$34</f>
        <v>0</v>
      </c>
      <c r="D165" s="7">
        <f>'Standing'!$D$34</f>
        <v>0</v>
      </c>
      <c r="E165" s="7">
        <f>'Standing'!$E$34</f>
        <v>0</v>
      </c>
      <c r="F165" s="7">
        <f>'Standing'!$F$34</f>
        <v>0</v>
      </c>
      <c r="G165" s="7">
        <f>'Standing'!$G$34</f>
        <v>0</v>
      </c>
      <c r="H165" s="7">
        <f>'Standing'!$H$34</f>
        <v>0</v>
      </c>
      <c r="I165" s="7">
        <f>'Standing'!$I$34</f>
        <v>0</v>
      </c>
      <c r="J165" s="7">
        <f>'Standing'!$J$34</f>
        <v>0</v>
      </c>
      <c r="K165" s="9"/>
      <c r="L165" s="9"/>
      <c r="M165" s="7">
        <f>'Standing'!$K$34</f>
        <v>0</v>
      </c>
      <c r="N165" s="7">
        <f>'Standing'!$L$34</f>
        <v>0</v>
      </c>
      <c r="O165" s="7">
        <f>'Standing'!$M$34</f>
        <v>0</v>
      </c>
      <c r="P165" s="7">
        <f>'Standing'!$N$34</f>
        <v>0</v>
      </c>
      <c r="Q165" s="7">
        <f>'Standing'!$O$34</f>
        <v>0</v>
      </c>
      <c r="R165" s="7">
        <f>'Standing'!$P$34</f>
        <v>0</v>
      </c>
      <c r="S165" s="7">
        <f>'Standing'!$Q$34</f>
        <v>0</v>
      </c>
      <c r="T165" s="7">
        <f>'Standing'!$R$34</f>
        <v>0</v>
      </c>
      <c r="U165" s="7">
        <f>'Standing'!$S$34</f>
        <v>0</v>
      </c>
      <c r="V165" s="9"/>
      <c r="W165" s="9"/>
      <c r="X165" s="10"/>
    </row>
    <row r="166" spans="1:24">
      <c r="A166" s="11" t="s">
        <v>179</v>
      </c>
      <c r="B166" s="7">
        <f>'Standing'!$B$35</f>
        <v>0</v>
      </c>
      <c r="C166" s="7">
        <f>'Standing'!$C$35</f>
        <v>0</v>
      </c>
      <c r="D166" s="7">
        <f>'Standing'!$D$35</f>
        <v>0</v>
      </c>
      <c r="E166" s="7">
        <f>'Standing'!$E$35</f>
        <v>0</v>
      </c>
      <c r="F166" s="7">
        <f>'Standing'!$F$35</f>
        <v>0</v>
      </c>
      <c r="G166" s="7">
        <f>'Standing'!$G$35</f>
        <v>0</v>
      </c>
      <c r="H166" s="7">
        <f>'Standing'!$H$35</f>
        <v>0</v>
      </c>
      <c r="I166" s="7">
        <f>'Standing'!$I$35</f>
        <v>0</v>
      </c>
      <c r="J166" s="7">
        <f>'Standing'!$J$35</f>
        <v>0</v>
      </c>
      <c r="K166" s="9"/>
      <c r="L166" s="9"/>
      <c r="M166" s="7">
        <f>'Standing'!$K$35</f>
        <v>0</v>
      </c>
      <c r="N166" s="7">
        <f>'Standing'!$L$35</f>
        <v>0</v>
      </c>
      <c r="O166" s="7">
        <f>'Standing'!$M$35</f>
        <v>0</v>
      </c>
      <c r="P166" s="7">
        <f>'Standing'!$N$35</f>
        <v>0</v>
      </c>
      <c r="Q166" s="7">
        <f>'Standing'!$O$35</f>
        <v>0</v>
      </c>
      <c r="R166" s="7">
        <f>'Standing'!$P$35</f>
        <v>0</v>
      </c>
      <c r="S166" s="7">
        <f>'Standing'!$Q$35</f>
        <v>0</v>
      </c>
      <c r="T166" s="7">
        <f>'Standing'!$R$35</f>
        <v>0</v>
      </c>
      <c r="U166" s="7">
        <f>'Standing'!$S$35</f>
        <v>0</v>
      </c>
      <c r="V166" s="9"/>
      <c r="W166" s="9"/>
      <c r="X166" s="10"/>
    </row>
    <row r="167" spans="1:24">
      <c r="A167" s="11" t="s">
        <v>192</v>
      </c>
      <c r="B167" s="7">
        <f>'Standing'!$B$36</f>
        <v>0</v>
      </c>
      <c r="C167" s="7">
        <f>'Standing'!$C$36</f>
        <v>0</v>
      </c>
      <c r="D167" s="7">
        <f>'Standing'!$D$36</f>
        <v>0</v>
      </c>
      <c r="E167" s="7">
        <f>'Standing'!$E$36</f>
        <v>0</v>
      </c>
      <c r="F167" s="7">
        <f>'Standing'!$F$36</f>
        <v>0</v>
      </c>
      <c r="G167" s="7">
        <f>'Standing'!$G$36</f>
        <v>0</v>
      </c>
      <c r="H167" s="7">
        <f>'Standing'!$H$36</f>
        <v>0</v>
      </c>
      <c r="I167" s="7">
        <f>'Standing'!$I$36</f>
        <v>0</v>
      </c>
      <c r="J167" s="7">
        <f>'Standing'!$J$36</f>
        <v>0</v>
      </c>
      <c r="K167" s="9"/>
      <c r="L167" s="9"/>
      <c r="M167" s="7">
        <f>'Standing'!$K$36</f>
        <v>0</v>
      </c>
      <c r="N167" s="7">
        <f>'Standing'!$L$36</f>
        <v>0</v>
      </c>
      <c r="O167" s="7">
        <f>'Standing'!$M$36</f>
        <v>0</v>
      </c>
      <c r="P167" s="7">
        <f>'Standing'!$N$36</f>
        <v>0</v>
      </c>
      <c r="Q167" s="7">
        <f>'Standing'!$O$36</f>
        <v>0</v>
      </c>
      <c r="R167" s="7">
        <f>'Standing'!$P$36</f>
        <v>0</v>
      </c>
      <c r="S167" s="7">
        <f>'Standing'!$Q$36</f>
        <v>0</v>
      </c>
      <c r="T167" s="7">
        <f>'Standing'!$R$36</f>
        <v>0</v>
      </c>
      <c r="U167" s="7">
        <f>'Standing'!$S$36</f>
        <v>0</v>
      </c>
      <c r="V167" s="9"/>
      <c r="W167" s="9"/>
      <c r="X167" s="10"/>
    </row>
    <row r="168" spans="1:24">
      <c r="A168" s="11" t="s">
        <v>212</v>
      </c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10"/>
    </row>
    <row r="169" spans="1:24">
      <c r="A169" s="11" t="s">
        <v>213</v>
      </c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10"/>
    </row>
    <row r="170" spans="1:24">
      <c r="A170" s="11" t="s">
        <v>214</v>
      </c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10"/>
    </row>
    <row r="171" spans="1:24">
      <c r="A171" s="11" t="s">
        <v>215</v>
      </c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10"/>
    </row>
    <row r="172" spans="1:24">
      <c r="A172" s="11" t="s">
        <v>216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10"/>
    </row>
    <row r="173" spans="1:24">
      <c r="A173" s="11" t="s">
        <v>180</v>
      </c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10"/>
    </row>
    <row r="174" spans="1:24">
      <c r="A174" s="11" t="s">
        <v>181</v>
      </c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10"/>
    </row>
    <row r="175" spans="1:24">
      <c r="A175" s="11" t="s">
        <v>182</v>
      </c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10"/>
    </row>
    <row r="176" spans="1:24">
      <c r="A176" s="11" t="s">
        <v>183</v>
      </c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10"/>
    </row>
    <row r="177" spans="1:24">
      <c r="A177" s="11" t="s">
        <v>184</v>
      </c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10"/>
    </row>
    <row r="178" spans="1:24">
      <c r="A178" s="11" t="s">
        <v>185</v>
      </c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10"/>
    </row>
    <row r="179" spans="1:24">
      <c r="A179" s="11" t="s">
        <v>193</v>
      </c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10"/>
    </row>
    <row r="180" spans="1:24">
      <c r="A180" s="11" t="s">
        <v>194</v>
      </c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10"/>
    </row>
    <row r="182" spans="1:24">
      <c r="A182" s="1" t="s">
        <v>1032</v>
      </c>
    </row>
    <row r="183" spans="1:24">
      <c r="A183" s="2" t="s">
        <v>349</v>
      </c>
    </row>
    <row r="184" spans="1:24">
      <c r="A184" s="12" t="s">
        <v>1033</v>
      </c>
    </row>
    <row r="185" spans="1:24">
      <c r="A185" s="12" t="s">
        <v>1034</v>
      </c>
    </row>
    <row r="186" spans="1:24">
      <c r="A186" s="2" t="s">
        <v>367</v>
      </c>
    </row>
    <row r="188" spans="1:24">
      <c r="B188" s="3" t="s">
        <v>140</v>
      </c>
      <c r="C188" s="3" t="s">
        <v>304</v>
      </c>
      <c r="D188" s="3" t="s">
        <v>305</v>
      </c>
      <c r="E188" s="3" t="s">
        <v>306</v>
      </c>
      <c r="F188" s="3" t="s">
        <v>307</v>
      </c>
      <c r="G188" s="3" t="s">
        <v>308</v>
      </c>
      <c r="H188" s="3" t="s">
        <v>309</v>
      </c>
      <c r="I188" s="3" t="s">
        <v>310</v>
      </c>
      <c r="J188" s="3" t="s">
        <v>311</v>
      </c>
      <c r="K188" s="3" t="s">
        <v>461</v>
      </c>
      <c r="L188" s="3" t="s">
        <v>473</v>
      </c>
      <c r="M188" s="3" t="s">
        <v>292</v>
      </c>
      <c r="N188" s="3" t="s">
        <v>810</v>
      </c>
      <c r="O188" s="3" t="s">
        <v>811</v>
      </c>
      <c r="P188" s="3" t="s">
        <v>812</v>
      </c>
      <c r="Q188" s="3" t="s">
        <v>813</v>
      </c>
      <c r="R188" s="3" t="s">
        <v>814</v>
      </c>
      <c r="S188" s="3" t="s">
        <v>815</v>
      </c>
      <c r="T188" s="3" t="s">
        <v>816</v>
      </c>
      <c r="U188" s="3" t="s">
        <v>817</v>
      </c>
      <c r="V188" s="3" t="s">
        <v>818</v>
      </c>
      <c r="W188" s="3" t="s">
        <v>819</v>
      </c>
    </row>
    <row r="189" spans="1:24">
      <c r="A189" s="11" t="s">
        <v>172</v>
      </c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10"/>
    </row>
    <row r="190" spans="1:24">
      <c r="A190" s="11" t="s">
        <v>173</v>
      </c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10"/>
    </row>
    <row r="191" spans="1:24">
      <c r="A191" s="11" t="s">
        <v>210</v>
      </c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10"/>
    </row>
    <row r="192" spans="1:24">
      <c r="A192" s="11" t="s">
        <v>174</v>
      </c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10"/>
    </row>
    <row r="193" spans="1:24">
      <c r="A193" s="11" t="s">
        <v>175</v>
      </c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10"/>
    </row>
    <row r="194" spans="1:24">
      <c r="A194" s="11" t="s">
        <v>211</v>
      </c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10"/>
    </row>
    <row r="195" spans="1:24">
      <c r="A195" s="11" t="s">
        <v>176</v>
      </c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10"/>
    </row>
    <row r="196" spans="1:24">
      <c r="A196" s="11" t="s">
        <v>177</v>
      </c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10"/>
    </row>
    <row r="197" spans="1:24">
      <c r="A197" s="11" t="s">
        <v>191</v>
      </c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10"/>
    </row>
    <row r="198" spans="1:24">
      <c r="A198" s="11" t="s">
        <v>178</v>
      </c>
      <c r="B198" s="7">
        <f>'Reactive'!$B$21</f>
        <v>0</v>
      </c>
      <c r="C198" s="7">
        <f>'Reactive'!$C$21</f>
        <v>0</v>
      </c>
      <c r="D198" s="7">
        <f>'Reactive'!$D$21</f>
        <v>0</v>
      </c>
      <c r="E198" s="7">
        <f>'Reactive'!$E$21</f>
        <v>0</v>
      </c>
      <c r="F198" s="7">
        <f>'Reactive'!$F$21</f>
        <v>0</v>
      </c>
      <c r="G198" s="7">
        <f>'Reactive'!$G$21</f>
        <v>0</v>
      </c>
      <c r="H198" s="7">
        <f>'Reactive'!$H$21</f>
        <v>0</v>
      </c>
      <c r="I198" s="7">
        <f>'Reactive'!$I$21</f>
        <v>0</v>
      </c>
      <c r="J198" s="7">
        <f>'Reactive'!$J$21</f>
        <v>0</v>
      </c>
      <c r="K198" s="9"/>
      <c r="L198" s="9"/>
      <c r="M198" s="7">
        <f>'Reactive'!$K$21</f>
        <v>0</v>
      </c>
      <c r="N198" s="7">
        <f>'Reactive'!$L$21</f>
        <v>0</v>
      </c>
      <c r="O198" s="7">
        <f>'Reactive'!$M$21</f>
        <v>0</v>
      </c>
      <c r="P198" s="7">
        <f>'Reactive'!$N$21</f>
        <v>0</v>
      </c>
      <c r="Q198" s="7">
        <f>'Reactive'!$O$21</f>
        <v>0</v>
      </c>
      <c r="R198" s="7">
        <f>'Reactive'!$P$21</f>
        <v>0</v>
      </c>
      <c r="S198" s="7">
        <f>'Reactive'!$Q$21</f>
        <v>0</v>
      </c>
      <c r="T198" s="7">
        <f>'Reactive'!$R$21</f>
        <v>0</v>
      </c>
      <c r="U198" s="7">
        <f>'Reactive'!$S$21</f>
        <v>0</v>
      </c>
      <c r="V198" s="9"/>
      <c r="W198" s="9"/>
      <c r="X198" s="10"/>
    </row>
    <row r="199" spans="1:24">
      <c r="A199" s="11" t="s">
        <v>179</v>
      </c>
      <c r="B199" s="7">
        <f>'Reactive'!$B$22</f>
        <v>0</v>
      </c>
      <c r="C199" s="7">
        <f>'Reactive'!$C$22</f>
        <v>0</v>
      </c>
      <c r="D199" s="7">
        <f>'Reactive'!$D$22</f>
        <v>0</v>
      </c>
      <c r="E199" s="7">
        <f>'Reactive'!$E$22</f>
        <v>0</v>
      </c>
      <c r="F199" s="7">
        <f>'Reactive'!$F$22</f>
        <v>0</v>
      </c>
      <c r="G199" s="7">
        <f>'Reactive'!$G$22</f>
        <v>0</v>
      </c>
      <c r="H199" s="7">
        <f>'Reactive'!$H$22</f>
        <v>0</v>
      </c>
      <c r="I199" s="7">
        <f>'Reactive'!$I$22</f>
        <v>0</v>
      </c>
      <c r="J199" s="7">
        <f>'Reactive'!$J$22</f>
        <v>0</v>
      </c>
      <c r="K199" s="9"/>
      <c r="L199" s="9"/>
      <c r="M199" s="7">
        <f>'Reactive'!$K$22</f>
        <v>0</v>
      </c>
      <c r="N199" s="7">
        <f>'Reactive'!$L$22</f>
        <v>0</v>
      </c>
      <c r="O199" s="7">
        <f>'Reactive'!$M$22</f>
        <v>0</v>
      </c>
      <c r="P199" s="7">
        <f>'Reactive'!$N$22</f>
        <v>0</v>
      </c>
      <c r="Q199" s="7">
        <f>'Reactive'!$O$22</f>
        <v>0</v>
      </c>
      <c r="R199" s="7">
        <f>'Reactive'!$P$22</f>
        <v>0</v>
      </c>
      <c r="S199" s="7">
        <f>'Reactive'!$Q$22</f>
        <v>0</v>
      </c>
      <c r="T199" s="7">
        <f>'Reactive'!$R$22</f>
        <v>0</v>
      </c>
      <c r="U199" s="7">
        <f>'Reactive'!$S$22</f>
        <v>0</v>
      </c>
      <c r="V199" s="9"/>
      <c r="W199" s="9"/>
      <c r="X199" s="10"/>
    </row>
    <row r="200" spans="1:24">
      <c r="A200" s="11" t="s">
        <v>192</v>
      </c>
      <c r="B200" s="7">
        <f>'Reactive'!$B$23</f>
        <v>0</v>
      </c>
      <c r="C200" s="7">
        <f>'Reactive'!$C$23</f>
        <v>0</v>
      </c>
      <c r="D200" s="7">
        <f>'Reactive'!$D$23</f>
        <v>0</v>
      </c>
      <c r="E200" s="7">
        <f>'Reactive'!$E$23</f>
        <v>0</v>
      </c>
      <c r="F200" s="7">
        <f>'Reactive'!$F$23</f>
        <v>0</v>
      </c>
      <c r="G200" s="7">
        <f>'Reactive'!$G$23</f>
        <v>0</v>
      </c>
      <c r="H200" s="7">
        <f>'Reactive'!$H$23</f>
        <v>0</v>
      </c>
      <c r="I200" s="7">
        <f>'Reactive'!$I$23</f>
        <v>0</v>
      </c>
      <c r="J200" s="7">
        <f>'Reactive'!$J$23</f>
        <v>0</v>
      </c>
      <c r="K200" s="9"/>
      <c r="L200" s="9"/>
      <c r="M200" s="7">
        <f>'Reactive'!$K$23</f>
        <v>0</v>
      </c>
      <c r="N200" s="7">
        <f>'Reactive'!$L$23</f>
        <v>0</v>
      </c>
      <c r="O200" s="7">
        <f>'Reactive'!$M$23</f>
        <v>0</v>
      </c>
      <c r="P200" s="7">
        <f>'Reactive'!$N$23</f>
        <v>0</v>
      </c>
      <c r="Q200" s="7">
        <f>'Reactive'!$O$23</f>
        <v>0</v>
      </c>
      <c r="R200" s="7">
        <f>'Reactive'!$P$23</f>
        <v>0</v>
      </c>
      <c r="S200" s="7">
        <f>'Reactive'!$Q$23</f>
        <v>0</v>
      </c>
      <c r="T200" s="7">
        <f>'Reactive'!$R$23</f>
        <v>0</v>
      </c>
      <c r="U200" s="7">
        <f>'Reactive'!$S$23</f>
        <v>0</v>
      </c>
      <c r="V200" s="9"/>
      <c r="W200" s="9"/>
      <c r="X200" s="10"/>
    </row>
    <row r="201" spans="1:24">
      <c r="A201" s="11" t="s">
        <v>212</v>
      </c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10"/>
    </row>
    <row r="202" spans="1:24">
      <c r="A202" s="11" t="s">
        <v>213</v>
      </c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10"/>
    </row>
    <row r="203" spans="1:24">
      <c r="A203" s="11" t="s">
        <v>214</v>
      </c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10"/>
    </row>
    <row r="204" spans="1:24">
      <c r="A204" s="11" t="s">
        <v>215</v>
      </c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10"/>
    </row>
    <row r="205" spans="1:24">
      <c r="A205" s="11" t="s">
        <v>216</v>
      </c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10"/>
    </row>
    <row r="206" spans="1:24">
      <c r="A206" s="11" t="s">
        <v>180</v>
      </c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10"/>
    </row>
    <row r="207" spans="1:24">
      <c r="A207" s="11" t="s">
        <v>181</v>
      </c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10"/>
    </row>
    <row r="208" spans="1:24">
      <c r="A208" s="11" t="s">
        <v>182</v>
      </c>
      <c r="B208" s="7">
        <f>'Reactive'!$B$77</f>
        <v>0</v>
      </c>
      <c r="C208" s="7">
        <f>'Reactive'!$C$77</f>
        <v>0</v>
      </c>
      <c r="D208" s="7">
        <f>'Reactive'!$D$77</f>
        <v>0</v>
      </c>
      <c r="E208" s="7">
        <f>'Reactive'!$E$77</f>
        <v>0</v>
      </c>
      <c r="F208" s="7">
        <f>'Reactive'!$F$77</f>
        <v>0</v>
      </c>
      <c r="G208" s="7">
        <f>'Reactive'!$G$77</f>
        <v>0</v>
      </c>
      <c r="H208" s="7">
        <f>'Reactive'!$H$77</f>
        <v>0</v>
      </c>
      <c r="I208" s="7">
        <f>'Reactive'!$I$77</f>
        <v>0</v>
      </c>
      <c r="J208" s="7">
        <f>'Reactive'!$J$77</f>
        <v>0</v>
      </c>
      <c r="K208" s="9"/>
      <c r="L208" s="9"/>
      <c r="M208" s="7">
        <f>'Reactive'!$K$77</f>
        <v>0</v>
      </c>
      <c r="N208" s="7">
        <f>'Reactive'!$L$77</f>
        <v>0</v>
      </c>
      <c r="O208" s="7">
        <f>'Reactive'!$M$77</f>
        <v>0</v>
      </c>
      <c r="P208" s="7">
        <f>'Reactive'!$N$77</f>
        <v>0</v>
      </c>
      <c r="Q208" s="7">
        <f>'Reactive'!$O$77</f>
        <v>0</v>
      </c>
      <c r="R208" s="7">
        <f>'Reactive'!$P$77</f>
        <v>0</v>
      </c>
      <c r="S208" s="7">
        <f>'Reactive'!$Q$77</f>
        <v>0</v>
      </c>
      <c r="T208" s="7">
        <f>'Reactive'!$R$77</f>
        <v>0</v>
      </c>
      <c r="U208" s="7">
        <f>'Reactive'!$S$77</f>
        <v>0</v>
      </c>
      <c r="V208" s="9"/>
      <c r="W208" s="9"/>
      <c r="X208" s="10"/>
    </row>
    <row r="209" spans="1:24">
      <c r="A209" s="11" t="s">
        <v>183</v>
      </c>
      <c r="B209" s="7">
        <f>'Reactive'!$B$78</f>
        <v>0</v>
      </c>
      <c r="C209" s="7">
        <f>'Reactive'!$C$78</f>
        <v>0</v>
      </c>
      <c r="D209" s="7">
        <f>'Reactive'!$D$78</f>
        <v>0</v>
      </c>
      <c r="E209" s="7">
        <f>'Reactive'!$E$78</f>
        <v>0</v>
      </c>
      <c r="F209" s="7">
        <f>'Reactive'!$F$78</f>
        <v>0</v>
      </c>
      <c r="G209" s="7">
        <f>'Reactive'!$G$78</f>
        <v>0</v>
      </c>
      <c r="H209" s="7">
        <f>'Reactive'!$H$78</f>
        <v>0</v>
      </c>
      <c r="I209" s="7">
        <f>'Reactive'!$I$78</f>
        <v>0</v>
      </c>
      <c r="J209" s="7">
        <f>'Reactive'!$J$78</f>
        <v>0</v>
      </c>
      <c r="K209" s="9"/>
      <c r="L209" s="9"/>
      <c r="M209" s="7">
        <f>'Reactive'!$K$78</f>
        <v>0</v>
      </c>
      <c r="N209" s="7">
        <f>'Reactive'!$L$78</f>
        <v>0</v>
      </c>
      <c r="O209" s="7">
        <f>'Reactive'!$M$78</f>
        <v>0</v>
      </c>
      <c r="P209" s="7">
        <f>'Reactive'!$N$78</f>
        <v>0</v>
      </c>
      <c r="Q209" s="7">
        <f>'Reactive'!$O$78</f>
        <v>0</v>
      </c>
      <c r="R209" s="7">
        <f>'Reactive'!$P$78</f>
        <v>0</v>
      </c>
      <c r="S209" s="7">
        <f>'Reactive'!$Q$78</f>
        <v>0</v>
      </c>
      <c r="T209" s="7">
        <f>'Reactive'!$R$78</f>
        <v>0</v>
      </c>
      <c r="U209" s="7">
        <f>'Reactive'!$S$78</f>
        <v>0</v>
      </c>
      <c r="V209" s="9"/>
      <c r="W209" s="9"/>
      <c r="X209" s="10"/>
    </row>
    <row r="210" spans="1:24">
      <c r="A210" s="11" t="s">
        <v>184</v>
      </c>
      <c r="B210" s="7">
        <f>'Reactive'!$B$79</f>
        <v>0</v>
      </c>
      <c r="C210" s="7">
        <f>'Reactive'!$C$79</f>
        <v>0</v>
      </c>
      <c r="D210" s="7">
        <f>'Reactive'!$D$79</f>
        <v>0</v>
      </c>
      <c r="E210" s="7">
        <f>'Reactive'!$E$79</f>
        <v>0</v>
      </c>
      <c r="F210" s="7">
        <f>'Reactive'!$F$79</f>
        <v>0</v>
      </c>
      <c r="G210" s="7">
        <f>'Reactive'!$G$79</f>
        <v>0</v>
      </c>
      <c r="H210" s="7">
        <f>'Reactive'!$H$79</f>
        <v>0</v>
      </c>
      <c r="I210" s="7">
        <f>'Reactive'!$I$79</f>
        <v>0</v>
      </c>
      <c r="J210" s="7">
        <f>'Reactive'!$J$79</f>
        <v>0</v>
      </c>
      <c r="K210" s="9"/>
      <c r="L210" s="9"/>
      <c r="M210" s="7">
        <f>'Reactive'!$K$79</f>
        <v>0</v>
      </c>
      <c r="N210" s="7">
        <f>'Reactive'!$L$79</f>
        <v>0</v>
      </c>
      <c r="O210" s="7">
        <f>'Reactive'!$M$79</f>
        <v>0</v>
      </c>
      <c r="P210" s="7">
        <f>'Reactive'!$N$79</f>
        <v>0</v>
      </c>
      <c r="Q210" s="7">
        <f>'Reactive'!$O$79</f>
        <v>0</v>
      </c>
      <c r="R210" s="7">
        <f>'Reactive'!$P$79</f>
        <v>0</v>
      </c>
      <c r="S210" s="7">
        <f>'Reactive'!$Q$79</f>
        <v>0</v>
      </c>
      <c r="T210" s="7">
        <f>'Reactive'!$R$79</f>
        <v>0</v>
      </c>
      <c r="U210" s="7">
        <f>'Reactive'!$S$79</f>
        <v>0</v>
      </c>
      <c r="V210" s="9"/>
      <c r="W210" s="9"/>
      <c r="X210" s="10"/>
    </row>
    <row r="211" spans="1:24">
      <c r="A211" s="11" t="s">
        <v>185</v>
      </c>
      <c r="B211" s="7">
        <f>'Reactive'!$B$80</f>
        <v>0</v>
      </c>
      <c r="C211" s="7">
        <f>'Reactive'!$C$80</f>
        <v>0</v>
      </c>
      <c r="D211" s="7">
        <f>'Reactive'!$D$80</f>
        <v>0</v>
      </c>
      <c r="E211" s="7">
        <f>'Reactive'!$E$80</f>
        <v>0</v>
      </c>
      <c r="F211" s="7">
        <f>'Reactive'!$F$80</f>
        <v>0</v>
      </c>
      <c r="G211" s="7">
        <f>'Reactive'!$G$80</f>
        <v>0</v>
      </c>
      <c r="H211" s="7">
        <f>'Reactive'!$H$80</f>
        <v>0</v>
      </c>
      <c r="I211" s="7">
        <f>'Reactive'!$I$80</f>
        <v>0</v>
      </c>
      <c r="J211" s="7">
        <f>'Reactive'!$J$80</f>
        <v>0</v>
      </c>
      <c r="K211" s="9"/>
      <c r="L211" s="9"/>
      <c r="M211" s="7">
        <f>'Reactive'!$K$80</f>
        <v>0</v>
      </c>
      <c r="N211" s="7">
        <f>'Reactive'!$L$80</f>
        <v>0</v>
      </c>
      <c r="O211" s="7">
        <f>'Reactive'!$M$80</f>
        <v>0</v>
      </c>
      <c r="P211" s="7">
        <f>'Reactive'!$N$80</f>
        <v>0</v>
      </c>
      <c r="Q211" s="7">
        <f>'Reactive'!$O$80</f>
        <v>0</v>
      </c>
      <c r="R211" s="7">
        <f>'Reactive'!$P$80</f>
        <v>0</v>
      </c>
      <c r="S211" s="7">
        <f>'Reactive'!$Q$80</f>
        <v>0</v>
      </c>
      <c r="T211" s="7">
        <f>'Reactive'!$R$80</f>
        <v>0</v>
      </c>
      <c r="U211" s="7">
        <f>'Reactive'!$S$80</f>
        <v>0</v>
      </c>
      <c r="V211" s="9"/>
      <c r="W211" s="9"/>
      <c r="X211" s="10"/>
    </row>
    <row r="212" spans="1:24">
      <c r="A212" s="11" t="s">
        <v>193</v>
      </c>
      <c r="B212" s="7">
        <f>'Reactive'!$B$81</f>
        <v>0</v>
      </c>
      <c r="C212" s="7">
        <f>'Reactive'!$C$81</f>
        <v>0</v>
      </c>
      <c r="D212" s="7">
        <f>'Reactive'!$D$81</f>
        <v>0</v>
      </c>
      <c r="E212" s="7">
        <f>'Reactive'!$E$81</f>
        <v>0</v>
      </c>
      <c r="F212" s="7">
        <f>'Reactive'!$F$81</f>
        <v>0</v>
      </c>
      <c r="G212" s="7">
        <f>'Reactive'!$G$81</f>
        <v>0</v>
      </c>
      <c r="H212" s="7">
        <f>'Reactive'!$H$81</f>
        <v>0</v>
      </c>
      <c r="I212" s="7">
        <f>'Reactive'!$I$81</f>
        <v>0</v>
      </c>
      <c r="J212" s="7">
        <f>'Reactive'!$J$81</f>
        <v>0</v>
      </c>
      <c r="K212" s="9"/>
      <c r="L212" s="9"/>
      <c r="M212" s="7">
        <f>'Reactive'!$K$81</f>
        <v>0</v>
      </c>
      <c r="N212" s="7">
        <f>'Reactive'!$L$81</f>
        <v>0</v>
      </c>
      <c r="O212" s="7">
        <f>'Reactive'!$M$81</f>
        <v>0</v>
      </c>
      <c r="P212" s="7">
        <f>'Reactive'!$N$81</f>
        <v>0</v>
      </c>
      <c r="Q212" s="7">
        <f>'Reactive'!$O$81</f>
        <v>0</v>
      </c>
      <c r="R212" s="7">
        <f>'Reactive'!$P$81</f>
        <v>0</v>
      </c>
      <c r="S212" s="7">
        <f>'Reactive'!$Q$81</f>
        <v>0</v>
      </c>
      <c r="T212" s="7">
        <f>'Reactive'!$R$81</f>
        <v>0</v>
      </c>
      <c r="U212" s="7">
        <f>'Reactive'!$S$81</f>
        <v>0</v>
      </c>
      <c r="V212" s="9"/>
      <c r="W212" s="9"/>
      <c r="X212" s="10"/>
    </row>
    <row r="213" spans="1:24">
      <c r="A213" s="11" t="s">
        <v>194</v>
      </c>
      <c r="B213" s="7">
        <f>'Reactive'!$B$82</f>
        <v>0</v>
      </c>
      <c r="C213" s="7">
        <f>'Reactive'!$C$82</f>
        <v>0</v>
      </c>
      <c r="D213" s="7">
        <f>'Reactive'!$D$82</f>
        <v>0</v>
      </c>
      <c r="E213" s="7">
        <f>'Reactive'!$E$82</f>
        <v>0</v>
      </c>
      <c r="F213" s="7">
        <f>'Reactive'!$F$82</f>
        <v>0</v>
      </c>
      <c r="G213" s="7">
        <f>'Reactive'!$G$82</f>
        <v>0</v>
      </c>
      <c r="H213" s="7">
        <f>'Reactive'!$H$82</f>
        <v>0</v>
      </c>
      <c r="I213" s="7">
        <f>'Reactive'!$I$82</f>
        <v>0</v>
      </c>
      <c r="J213" s="7">
        <f>'Reactive'!$J$82</f>
        <v>0</v>
      </c>
      <c r="K213" s="9"/>
      <c r="L213" s="9"/>
      <c r="M213" s="7">
        <f>'Reactive'!$K$82</f>
        <v>0</v>
      </c>
      <c r="N213" s="7">
        <f>'Reactive'!$L$82</f>
        <v>0</v>
      </c>
      <c r="O213" s="7">
        <f>'Reactive'!$M$82</f>
        <v>0</v>
      </c>
      <c r="P213" s="7">
        <f>'Reactive'!$N$82</f>
        <v>0</v>
      </c>
      <c r="Q213" s="7">
        <f>'Reactive'!$O$82</f>
        <v>0</v>
      </c>
      <c r="R213" s="7">
        <f>'Reactive'!$P$82</f>
        <v>0</v>
      </c>
      <c r="S213" s="7">
        <f>'Reactive'!$Q$82</f>
        <v>0</v>
      </c>
      <c r="T213" s="7">
        <f>'Reactive'!$R$82</f>
        <v>0</v>
      </c>
      <c r="U213" s="7">
        <f>'Reactive'!$S$82</f>
        <v>0</v>
      </c>
      <c r="V213" s="9"/>
      <c r="W213" s="9"/>
      <c r="X213" s="10"/>
    </row>
    <row r="215" spans="1:24">
      <c r="A215" s="1" t="s">
        <v>1035</v>
      </c>
    </row>
    <row r="216" spans="1:24">
      <c r="A216" s="2" t="s">
        <v>349</v>
      </c>
    </row>
    <row r="217" spans="1:24">
      <c r="A217" s="12" t="s">
        <v>1036</v>
      </c>
    </row>
    <row r="218" spans="1:24">
      <c r="A218" s="12" t="s">
        <v>1037</v>
      </c>
    </row>
    <row r="219" spans="1:24">
      <c r="A219" s="12" t="s">
        <v>1038</v>
      </c>
    </row>
    <row r="220" spans="1:24">
      <c r="A220" s="12" t="s">
        <v>1039</v>
      </c>
    </row>
    <row r="221" spans="1:24">
      <c r="A221" s="12" t="s">
        <v>1040</v>
      </c>
    </row>
    <row r="222" spans="1:24">
      <c r="A222" s="12" t="s">
        <v>1041</v>
      </c>
    </row>
    <row r="223" spans="1:24">
      <c r="A223" s="26" t="s">
        <v>352</v>
      </c>
      <c r="B223" s="26" t="s">
        <v>483</v>
      </c>
      <c r="C223" s="26" t="s">
        <v>483</v>
      </c>
      <c r="D223" s="26" t="s">
        <v>483</v>
      </c>
      <c r="E223" s="26" t="s">
        <v>483</v>
      </c>
      <c r="F223" s="26" t="s">
        <v>483</v>
      </c>
      <c r="G223" s="26" t="s">
        <v>483</v>
      </c>
    </row>
    <row r="224" spans="1:24">
      <c r="A224" s="26" t="s">
        <v>355</v>
      </c>
      <c r="B224" s="26" t="s">
        <v>533</v>
      </c>
      <c r="C224" s="26" t="s">
        <v>534</v>
      </c>
      <c r="D224" s="26" t="s">
        <v>535</v>
      </c>
      <c r="E224" s="26" t="s">
        <v>536</v>
      </c>
      <c r="F224" s="26" t="s">
        <v>485</v>
      </c>
      <c r="G224" s="26" t="s">
        <v>537</v>
      </c>
    </row>
    <row r="226" spans="1:8">
      <c r="B226" s="3" t="s">
        <v>1042</v>
      </c>
      <c r="C226" s="3" t="s">
        <v>1043</v>
      </c>
      <c r="D226" s="3" t="s">
        <v>1044</v>
      </c>
      <c r="E226" s="3" t="s">
        <v>1045</v>
      </c>
      <c r="F226" s="3" t="s">
        <v>1046</v>
      </c>
      <c r="G226" s="3" t="s">
        <v>1047</v>
      </c>
    </row>
    <row r="227" spans="1:8">
      <c r="A227" s="11" t="s">
        <v>172</v>
      </c>
      <c r="B227" s="6">
        <f>SUM($B16:$W16)</f>
        <v>0</v>
      </c>
      <c r="C227" s="6">
        <f>SUM($B52:$W52)</f>
        <v>0</v>
      </c>
      <c r="D227" s="6">
        <f>SUM($B88:$W88)</f>
        <v>0</v>
      </c>
      <c r="E227" s="6">
        <f>SUM($B124:$W124)</f>
        <v>0</v>
      </c>
      <c r="F227" s="6">
        <f>SUM($B156:$W156)</f>
        <v>0</v>
      </c>
      <c r="G227" s="6">
        <f>SUM($B189:$W189)</f>
        <v>0</v>
      </c>
      <c r="H227" s="10"/>
    </row>
    <row r="228" spans="1:8">
      <c r="A228" s="11" t="s">
        <v>173</v>
      </c>
      <c r="B228" s="6">
        <f>SUM($B17:$W17)</f>
        <v>0</v>
      </c>
      <c r="C228" s="6">
        <f>SUM($B53:$W53)</f>
        <v>0</v>
      </c>
      <c r="D228" s="6">
        <f>SUM($B89:$W89)</f>
        <v>0</v>
      </c>
      <c r="E228" s="6">
        <f>SUM($B125:$W125)</f>
        <v>0</v>
      </c>
      <c r="F228" s="6">
        <f>SUM($B157:$W157)</f>
        <v>0</v>
      </c>
      <c r="G228" s="6">
        <f>SUM($B190:$W190)</f>
        <v>0</v>
      </c>
      <c r="H228" s="10"/>
    </row>
    <row r="229" spans="1:8">
      <c r="A229" s="11" t="s">
        <v>210</v>
      </c>
      <c r="B229" s="6">
        <f>SUM($B18:$W18)</f>
        <v>0</v>
      </c>
      <c r="C229" s="6">
        <f>SUM($B54:$W54)</f>
        <v>0</v>
      </c>
      <c r="D229" s="6">
        <f>SUM($B90:$W90)</f>
        <v>0</v>
      </c>
      <c r="E229" s="6">
        <f>SUM($B126:$W126)</f>
        <v>0</v>
      </c>
      <c r="F229" s="6">
        <f>SUM($B158:$W158)</f>
        <v>0</v>
      </c>
      <c r="G229" s="6">
        <f>SUM($B191:$W191)</f>
        <v>0</v>
      </c>
      <c r="H229" s="10"/>
    </row>
    <row r="230" spans="1:8">
      <c r="A230" s="11" t="s">
        <v>174</v>
      </c>
      <c r="B230" s="6">
        <f>SUM($B19:$W19)</f>
        <v>0</v>
      </c>
      <c r="C230" s="6">
        <f>SUM($B55:$W55)</f>
        <v>0</v>
      </c>
      <c r="D230" s="6">
        <f>SUM($B91:$W91)</f>
        <v>0</v>
      </c>
      <c r="E230" s="6">
        <f>SUM($B127:$W127)</f>
        <v>0</v>
      </c>
      <c r="F230" s="6">
        <f>SUM($B159:$W159)</f>
        <v>0</v>
      </c>
      <c r="G230" s="6">
        <f>SUM($B192:$W192)</f>
        <v>0</v>
      </c>
      <c r="H230" s="10"/>
    </row>
    <row r="231" spans="1:8">
      <c r="A231" s="11" t="s">
        <v>175</v>
      </c>
      <c r="B231" s="6">
        <f>SUM($B20:$W20)</f>
        <v>0</v>
      </c>
      <c r="C231" s="6">
        <f>SUM($B56:$W56)</f>
        <v>0</v>
      </c>
      <c r="D231" s="6">
        <f>SUM($B92:$W92)</f>
        <v>0</v>
      </c>
      <c r="E231" s="6">
        <f>SUM($B128:$W128)</f>
        <v>0</v>
      </c>
      <c r="F231" s="6">
        <f>SUM($B160:$W160)</f>
        <v>0</v>
      </c>
      <c r="G231" s="6">
        <f>SUM($B193:$W193)</f>
        <v>0</v>
      </c>
      <c r="H231" s="10"/>
    </row>
    <row r="232" spans="1:8">
      <c r="A232" s="11" t="s">
        <v>211</v>
      </c>
      <c r="B232" s="6">
        <f>SUM($B21:$W21)</f>
        <v>0</v>
      </c>
      <c r="C232" s="6">
        <f>SUM($B57:$W57)</f>
        <v>0</v>
      </c>
      <c r="D232" s="6">
        <f>SUM($B93:$W93)</f>
        <v>0</v>
      </c>
      <c r="E232" s="6">
        <f>SUM($B129:$W129)</f>
        <v>0</v>
      </c>
      <c r="F232" s="6">
        <f>SUM($B161:$W161)</f>
        <v>0</v>
      </c>
      <c r="G232" s="6">
        <f>SUM($B194:$W194)</f>
        <v>0</v>
      </c>
      <c r="H232" s="10"/>
    </row>
    <row r="233" spans="1:8">
      <c r="A233" s="11" t="s">
        <v>176</v>
      </c>
      <c r="B233" s="6">
        <f>SUM($B22:$W22)</f>
        <v>0</v>
      </c>
      <c r="C233" s="6">
        <f>SUM($B58:$W58)</f>
        <v>0</v>
      </c>
      <c r="D233" s="6">
        <f>SUM($B94:$W94)</f>
        <v>0</v>
      </c>
      <c r="E233" s="6">
        <f>SUM($B130:$W130)</f>
        <v>0</v>
      </c>
      <c r="F233" s="6">
        <f>SUM($B162:$W162)</f>
        <v>0</v>
      </c>
      <c r="G233" s="6">
        <f>SUM($B195:$W195)</f>
        <v>0</v>
      </c>
      <c r="H233" s="10"/>
    </row>
    <row r="234" spans="1:8">
      <c r="A234" s="11" t="s">
        <v>177</v>
      </c>
      <c r="B234" s="6">
        <f>SUM($B23:$W23)</f>
        <v>0</v>
      </c>
      <c r="C234" s="6">
        <f>SUM($B59:$W59)</f>
        <v>0</v>
      </c>
      <c r="D234" s="6">
        <f>SUM($B95:$W95)</f>
        <v>0</v>
      </c>
      <c r="E234" s="6">
        <f>SUM($B131:$W131)</f>
        <v>0</v>
      </c>
      <c r="F234" s="6">
        <f>SUM($B163:$W163)</f>
        <v>0</v>
      </c>
      <c r="G234" s="6">
        <f>SUM($B196:$W196)</f>
        <v>0</v>
      </c>
      <c r="H234" s="10"/>
    </row>
    <row r="235" spans="1:8">
      <c r="A235" s="11" t="s">
        <v>191</v>
      </c>
      <c r="B235" s="6">
        <f>SUM($B24:$W24)</f>
        <v>0</v>
      </c>
      <c r="C235" s="6">
        <f>SUM($B60:$W60)</f>
        <v>0</v>
      </c>
      <c r="D235" s="6">
        <f>SUM($B96:$W96)</f>
        <v>0</v>
      </c>
      <c r="E235" s="6">
        <f>SUM($B132:$W132)</f>
        <v>0</v>
      </c>
      <c r="F235" s="6">
        <f>SUM($B164:$W164)</f>
        <v>0</v>
      </c>
      <c r="G235" s="6">
        <f>SUM($B197:$W197)</f>
        <v>0</v>
      </c>
      <c r="H235" s="10"/>
    </row>
    <row r="236" spans="1:8">
      <c r="A236" s="11" t="s">
        <v>178</v>
      </c>
      <c r="B236" s="6">
        <f>SUM($B25:$W25)</f>
        <v>0</v>
      </c>
      <c r="C236" s="6">
        <f>SUM($B61:$W61)</f>
        <v>0</v>
      </c>
      <c r="D236" s="6">
        <f>SUM($B97:$W97)</f>
        <v>0</v>
      </c>
      <c r="E236" s="6">
        <f>SUM($B133:$W133)</f>
        <v>0</v>
      </c>
      <c r="F236" s="6">
        <f>SUM($B165:$W165)</f>
        <v>0</v>
      </c>
      <c r="G236" s="6">
        <f>SUM($B198:$W198)</f>
        <v>0</v>
      </c>
      <c r="H236" s="10"/>
    </row>
    <row r="237" spans="1:8">
      <c r="A237" s="11" t="s">
        <v>179</v>
      </c>
      <c r="B237" s="6">
        <f>SUM($B26:$W26)</f>
        <v>0</v>
      </c>
      <c r="C237" s="6">
        <f>SUM($B62:$W62)</f>
        <v>0</v>
      </c>
      <c r="D237" s="6">
        <f>SUM($B98:$W98)</f>
        <v>0</v>
      </c>
      <c r="E237" s="6">
        <f>SUM($B134:$W134)</f>
        <v>0</v>
      </c>
      <c r="F237" s="6">
        <f>SUM($B166:$W166)</f>
        <v>0</v>
      </c>
      <c r="G237" s="6">
        <f>SUM($B199:$W199)</f>
        <v>0</v>
      </c>
      <c r="H237" s="10"/>
    </row>
    <row r="238" spans="1:8">
      <c r="A238" s="11" t="s">
        <v>192</v>
      </c>
      <c r="B238" s="6">
        <f>SUM($B27:$W27)</f>
        <v>0</v>
      </c>
      <c r="C238" s="6">
        <f>SUM($B63:$W63)</f>
        <v>0</v>
      </c>
      <c r="D238" s="6">
        <f>SUM($B99:$W99)</f>
        <v>0</v>
      </c>
      <c r="E238" s="6">
        <f>SUM($B135:$W135)</f>
        <v>0</v>
      </c>
      <c r="F238" s="6">
        <f>SUM($B167:$W167)</f>
        <v>0</v>
      </c>
      <c r="G238" s="6">
        <f>SUM($B200:$W200)</f>
        <v>0</v>
      </c>
      <c r="H238" s="10"/>
    </row>
    <row r="239" spans="1:8">
      <c r="A239" s="11" t="s">
        <v>212</v>
      </c>
      <c r="B239" s="6">
        <f>SUM($B28:$W28)</f>
        <v>0</v>
      </c>
      <c r="C239" s="6">
        <f>SUM($B64:$W64)</f>
        <v>0</v>
      </c>
      <c r="D239" s="6">
        <f>SUM($B100:$W100)</f>
        <v>0</v>
      </c>
      <c r="E239" s="6">
        <f>SUM($B136:$W136)</f>
        <v>0</v>
      </c>
      <c r="F239" s="6">
        <f>SUM($B168:$W168)</f>
        <v>0</v>
      </c>
      <c r="G239" s="6">
        <f>SUM($B201:$W201)</f>
        <v>0</v>
      </c>
      <c r="H239" s="10"/>
    </row>
    <row r="240" spans="1:8">
      <c r="A240" s="11" t="s">
        <v>213</v>
      </c>
      <c r="B240" s="6">
        <f>SUM($B29:$W29)</f>
        <v>0</v>
      </c>
      <c r="C240" s="6">
        <f>SUM($B65:$W65)</f>
        <v>0</v>
      </c>
      <c r="D240" s="6">
        <f>SUM($B101:$W101)</f>
        <v>0</v>
      </c>
      <c r="E240" s="6">
        <f>SUM($B137:$W137)</f>
        <v>0</v>
      </c>
      <c r="F240" s="6">
        <f>SUM($B169:$W169)</f>
        <v>0</v>
      </c>
      <c r="G240" s="6">
        <f>SUM($B202:$W202)</f>
        <v>0</v>
      </c>
      <c r="H240" s="10"/>
    </row>
    <row r="241" spans="1:8">
      <c r="A241" s="11" t="s">
        <v>214</v>
      </c>
      <c r="B241" s="6">
        <f>SUM($B30:$W30)</f>
        <v>0</v>
      </c>
      <c r="C241" s="6">
        <f>SUM($B66:$W66)</f>
        <v>0</v>
      </c>
      <c r="D241" s="6">
        <f>SUM($B102:$W102)</f>
        <v>0</v>
      </c>
      <c r="E241" s="6">
        <f>SUM($B138:$W138)</f>
        <v>0</v>
      </c>
      <c r="F241" s="6">
        <f>SUM($B170:$W170)</f>
        <v>0</v>
      </c>
      <c r="G241" s="6">
        <f>SUM($B203:$W203)</f>
        <v>0</v>
      </c>
      <c r="H241" s="10"/>
    </row>
    <row r="242" spans="1:8">
      <c r="A242" s="11" t="s">
        <v>215</v>
      </c>
      <c r="B242" s="6">
        <f>SUM($B31:$W31)</f>
        <v>0</v>
      </c>
      <c r="C242" s="6">
        <f>SUM($B67:$W67)</f>
        <v>0</v>
      </c>
      <c r="D242" s="6">
        <f>SUM($B103:$W103)</f>
        <v>0</v>
      </c>
      <c r="E242" s="6">
        <f>SUM($B139:$W139)</f>
        <v>0</v>
      </c>
      <c r="F242" s="6">
        <f>SUM($B171:$W171)</f>
        <v>0</v>
      </c>
      <c r="G242" s="6">
        <f>SUM($B204:$W204)</f>
        <v>0</v>
      </c>
      <c r="H242" s="10"/>
    </row>
    <row r="243" spans="1:8">
      <c r="A243" s="11" t="s">
        <v>216</v>
      </c>
      <c r="B243" s="6">
        <f>SUM($B32:$W32)</f>
        <v>0</v>
      </c>
      <c r="C243" s="6">
        <f>SUM($B68:$W68)</f>
        <v>0</v>
      </c>
      <c r="D243" s="6">
        <f>SUM($B104:$W104)</f>
        <v>0</v>
      </c>
      <c r="E243" s="6">
        <f>SUM($B140:$W140)</f>
        <v>0</v>
      </c>
      <c r="F243" s="6">
        <f>SUM($B172:$W172)</f>
        <v>0</v>
      </c>
      <c r="G243" s="6">
        <f>SUM($B205:$W205)</f>
        <v>0</v>
      </c>
      <c r="H243" s="10"/>
    </row>
    <row r="244" spans="1:8">
      <c r="A244" s="11" t="s">
        <v>180</v>
      </c>
      <c r="B244" s="6">
        <f>SUM($B33:$W33)</f>
        <v>0</v>
      </c>
      <c r="C244" s="6">
        <f>SUM($B69:$W69)</f>
        <v>0</v>
      </c>
      <c r="D244" s="6">
        <f>SUM($B105:$W105)</f>
        <v>0</v>
      </c>
      <c r="E244" s="6">
        <f>SUM($B141:$W141)</f>
        <v>0</v>
      </c>
      <c r="F244" s="6">
        <f>SUM($B173:$W173)</f>
        <v>0</v>
      </c>
      <c r="G244" s="6">
        <f>SUM($B206:$W206)</f>
        <v>0</v>
      </c>
      <c r="H244" s="10"/>
    </row>
    <row r="245" spans="1:8">
      <c r="A245" s="11" t="s">
        <v>181</v>
      </c>
      <c r="B245" s="6">
        <f>SUM($B34:$W34)</f>
        <v>0</v>
      </c>
      <c r="C245" s="6">
        <f>SUM($B70:$W70)</f>
        <v>0</v>
      </c>
      <c r="D245" s="6">
        <f>SUM($B106:$W106)</f>
        <v>0</v>
      </c>
      <c r="E245" s="6">
        <f>SUM($B142:$W142)</f>
        <v>0</v>
      </c>
      <c r="F245" s="6">
        <f>SUM($B174:$W174)</f>
        <v>0</v>
      </c>
      <c r="G245" s="6">
        <f>SUM($B207:$W207)</f>
        <v>0</v>
      </c>
      <c r="H245" s="10"/>
    </row>
    <row r="246" spans="1:8">
      <c r="A246" s="11" t="s">
        <v>182</v>
      </c>
      <c r="B246" s="6">
        <f>SUM($B35:$W35)</f>
        <v>0</v>
      </c>
      <c r="C246" s="6">
        <f>SUM($B71:$W71)</f>
        <v>0</v>
      </c>
      <c r="D246" s="6">
        <f>SUM($B107:$W107)</f>
        <v>0</v>
      </c>
      <c r="E246" s="6">
        <f>SUM($B143:$W143)</f>
        <v>0</v>
      </c>
      <c r="F246" s="6">
        <f>SUM($B175:$W175)</f>
        <v>0</v>
      </c>
      <c r="G246" s="6">
        <f>SUM($B208:$W208)</f>
        <v>0</v>
      </c>
      <c r="H246" s="10"/>
    </row>
    <row r="247" spans="1:8">
      <c r="A247" s="11" t="s">
        <v>183</v>
      </c>
      <c r="B247" s="6">
        <f>SUM($B36:$W36)</f>
        <v>0</v>
      </c>
      <c r="C247" s="6">
        <f>SUM($B72:$W72)</f>
        <v>0</v>
      </c>
      <c r="D247" s="6">
        <f>SUM($B108:$W108)</f>
        <v>0</v>
      </c>
      <c r="E247" s="6">
        <f>SUM($B144:$W144)</f>
        <v>0</v>
      </c>
      <c r="F247" s="6">
        <f>SUM($B176:$W176)</f>
        <v>0</v>
      </c>
      <c r="G247" s="6">
        <f>SUM($B209:$W209)</f>
        <v>0</v>
      </c>
      <c r="H247" s="10"/>
    </row>
    <row r="248" spans="1:8">
      <c r="A248" s="11" t="s">
        <v>184</v>
      </c>
      <c r="B248" s="6">
        <f>SUM($B37:$W37)</f>
        <v>0</v>
      </c>
      <c r="C248" s="6">
        <f>SUM($B73:$W73)</f>
        <v>0</v>
      </c>
      <c r="D248" s="6">
        <f>SUM($B109:$W109)</f>
        <v>0</v>
      </c>
      <c r="E248" s="6">
        <f>SUM($B145:$W145)</f>
        <v>0</v>
      </c>
      <c r="F248" s="6">
        <f>SUM($B177:$W177)</f>
        <v>0</v>
      </c>
      <c r="G248" s="6">
        <f>SUM($B210:$W210)</f>
        <v>0</v>
      </c>
      <c r="H248" s="10"/>
    </row>
    <row r="249" spans="1:8">
      <c r="A249" s="11" t="s">
        <v>185</v>
      </c>
      <c r="B249" s="6">
        <f>SUM($B38:$W38)</f>
        <v>0</v>
      </c>
      <c r="C249" s="6">
        <f>SUM($B74:$W74)</f>
        <v>0</v>
      </c>
      <c r="D249" s="6">
        <f>SUM($B110:$W110)</f>
        <v>0</v>
      </c>
      <c r="E249" s="6">
        <f>SUM($B146:$W146)</f>
        <v>0</v>
      </c>
      <c r="F249" s="6">
        <f>SUM($B178:$W178)</f>
        <v>0</v>
      </c>
      <c r="G249" s="6">
        <f>SUM($B211:$W211)</f>
        <v>0</v>
      </c>
      <c r="H249" s="10"/>
    </row>
    <row r="250" spans="1:8">
      <c r="A250" s="11" t="s">
        <v>193</v>
      </c>
      <c r="B250" s="6">
        <f>SUM($B39:$W39)</f>
        <v>0</v>
      </c>
      <c r="C250" s="6">
        <f>SUM($B75:$W75)</f>
        <v>0</v>
      </c>
      <c r="D250" s="6">
        <f>SUM($B111:$W111)</f>
        <v>0</v>
      </c>
      <c r="E250" s="6">
        <f>SUM($B147:$W147)</f>
        <v>0</v>
      </c>
      <c r="F250" s="6">
        <f>SUM($B179:$W179)</f>
        <v>0</v>
      </c>
      <c r="G250" s="6">
        <f>SUM($B212:$W212)</f>
        <v>0</v>
      </c>
      <c r="H250" s="10"/>
    </row>
    <row r="251" spans="1:8">
      <c r="A251" s="11" t="s">
        <v>194</v>
      </c>
      <c r="B251" s="6">
        <f>SUM($B40:$W40)</f>
        <v>0</v>
      </c>
      <c r="C251" s="6">
        <f>SUM($B76:$W76)</f>
        <v>0</v>
      </c>
      <c r="D251" s="6">
        <f>SUM($B112:$W112)</f>
        <v>0</v>
      </c>
      <c r="E251" s="6">
        <f>SUM($B148:$W148)</f>
        <v>0</v>
      </c>
      <c r="F251" s="6">
        <f>SUM($B180:$W180)</f>
        <v>0</v>
      </c>
      <c r="G251" s="6">
        <f>SUM($B213:$W213)</f>
        <v>0</v>
      </c>
      <c r="H251" s="10"/>
    </row>
  </sheetData>
  <sheetProtection sheet="1" objects="1" scenarios="1"/>
  <hyperlinks>
    <hyperlink ref="A6" location="'Standing'!B74" display="x1 = 3004. Unit rate 1 total p/kWh (taking account of standing charges) — for Tariffs with Unit rate 1 p/kWh from Standard 1 kWh"/>
    <hyperlink ref="A7" location="'Standing'!B49" display="x2 = 3003. Yardstick total p/kWh (taking account of standing charges) — for Tariffs with Unit rate 1 p/kWh from Standard yardstick kWh"/>
    <hyperlink ref="A8" location="'Yard'!B58" display="x3 = 2903. Pay-as-you-go unit rate 1 (p/kWh) — for Tariffs with Unit rate 1 p/kWh from PAYG 1 kWh"/>
    <hyperlink ref="A9" location="'Yard'!B58" display="x4 = 2903. Pay-as-you-go unit rate 1 (p/kWh) — for Tariffs with Unit rate 1 p/kWh from PAYG 1 kWh &amp; customer"/>
    <hyperlink ref="A10" location="'Yard'!B22" display="x5 = 2902. Pay-as-you-go yardstick unit rate (p/kWh) — for Tariffs with Unit rate 1 p/kWh from PAYG yardstick kWh"/>
    <hyperlink ref="A11" location="'SM'!B42" display="x6 = 2203. Service model asset p/kWh charge for unmetered tariffs — for Tariffs with Unit rate 1 p/kWh from PAYG 1 kWh &amp; customer"/>
    <hyperlink ref="A12" location="'Otex'!B153" display="x7 = 2712. Operating expenditure for unmetered customer assets (p/kWh) — for Tariffs with Unit rate 1 p/kWh from PAYG 1 kWh &amp; customer"/>
    <hyperlink ref="A44" location="'Standing'!B97" display="x1 = 3005. Unit rate 2 total p/kWh (taking account of standing charges) — for Tariffs with Unit rate 2 p/kWh from Standard 2 kWh"/>
    <hyperlink ref="A45" location="'Yard'!B87" display="x2 = 2904. Pay-as-you-go unit rate 2 (p/kWh) — for Tariffs with Unit rate 2 p/kWh from PAYG 2 kWh"/>
    <hyperlink ref="A46" location="'Yard'!B87" display="x3 = 2904. Pay-as-you-go unit rate 2 (p/kWh) — for Tariffs with Unit rate 2 p/kWh from PAYG 2 kWh &amp; customer"/>
    <hyperlink ref="A47" location="'SM'!B42" display="x4 = 2203. Service model asset p/kWh charge for unmetered tariffs — for Tariffs with Unit rate 2 p/kWh from PAYG 2 kWh &amp; customer"/>
    <hyperlink ref="A48" location="'Otex'!B153" display="x5 = 2712. Operating expenditure for unmetered customer assets (p/kWh) — for Tariffs with Unit rate 2 p/kWh from PAYG 2 kWh &amp; customer"/>
    <hyperlink ref="A80" location="'Standing'!B114" display="x1 = 3006. Unit rate 3 total p/kWh (taking account of standing charges) — for Tariffs with Unit rate 3 p/kWh from Standard 3 kWh"/>
    <hyperlink ref="A81" location="'Yard'!B110" display="x2 = 2905. Pay-as-you-go unit rate 3 (p/kWh) — for Tariffs with Unit rate 3 p/kWh from PAYG 3 kWh"/>
    <hyperlink ref="A82" location="'Yard'!B110" display="x3 = 2905. Pay-as-you-go unit rate 3 (p/kWh) — for Tariffs with Unit rate 3 p/kWh from PAYG 3 kWh &amp; customer"/>
    <hyperlink ref="A83" location="'SM'!B42" display="x4 = 2203. Service model asset p/kWh charge for unmetered tariffs — for Tariffs with Unit rate 3 p/kWh from PAYG 3 kWh &amp; customer"/>
    <hyperlink ref="A84" location="'Otex'!B153" display="x5 = 2712. Operating expenditure for unmetered customer assets (p/kWh) — for Tariffs with Unit rate 3 p/kWh from PAYG 3 kWh &amp; customer"/>
    <hyperlink ref="A116" location="'NHH'!B87" display="x1 = 3106. Fixed charge from standing charges factors p/MPAN/day — for Tariffs with Fixed charge p/MPAN/day from Fixed from network &amp; customer"/>
    <hyperlink ref="A117" location="'SM'!B101" display="x2 = 2206. Service model p/MPAN/day (in Replacement annuities for service models) — for Tariffs with Fixed charge p/MPAN/day from Customer"/>
    <hyperlink ref="A118" location="'SM'!B101" display="x3 = 2206. Service model p/MPAN/day (in Replacement annuities for service models) — for Tariffs with Fixed charge p/MPAN/day from Fixed from network &amp; customer"/>
    <hyperlink ref="A119" location="'Otex'!B120" display="x4 = 2711. Operating expenditure for customer assets p/MPAN/day total (in Operating expenditure for customer assets p/MPAN/day) — for Tariffs with Fixed charge p/MPAN/day from Customer"/>
    <hyperlink ref="A120" location="'Otex'!B120" display="x5 = 2711. Operating expenditure for customer assets p/MPAN/day total (in Operating expenditure for customer assets p/MPAN/day) — for Tariffs with Fixed charge p/MPAN/day from Fixed from network &amp; customer"/>
    <hyperlink ref="A152" location="'Standing'!B24" display="x1 = 3002. Capacity charge p/kVA/day — for Tariffs with Capacity charge p/kVA/day from Capacity"/>
    <hyperlink ref="A184" location="'Reactive'!B76" display="x1 = 3206. Pay-as-you-go reactive p/kVArh"/>
    <hyperlink ref="A185" location="'Reactive'!B20" display="x2 = 3202. Standard reactive p/kVArh"/>
    <hyperlink ref="A217" location="'Aggreg'!B15" display="x1 = 3301. Unit rate 1 p/kWh (elements)"/>
    <hyperlink ref="A218" location="'Aggreg'!B51" display="x2 = 3302. Unit rate 2 p/kWh (elements)"/>
    <hyperlink ref="A219" location="'Aggreg'!B87" display="x3 = 3303. Unit rate 3 p/kWh (elements)"/>
    <hyperlink ref="A220" location="'Aggreg'!B123" display="x4 = 3304. Fixed charge p/MPAN/day (elements)"/>
    <hyperlink ref="A221" location="'Aggreg'!B155" display="x5 = 3305. Capacity charge p/kVA/day (elements)"/>
    <hyperlink ref="A222" location="'Aggreg'!B188" display="x6 = 3306. Reactive power charge p/kVArh (elements)"/>
  </hyperlinks>
  <pageMargins left="0.7" right="0.7" top="0.75" bottom="0.75" header="0.3" footer="0.3"/>
  <pageSetup fitToHeight="0" orientation="landscape"/>
  <headerFooter>
    <oddHeader>&amp;L&amp;A&amp;Cr6432&amp;R&amp;P of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>
      <c r="A1" s="1">
        <f>"Revenue shortfall or surplus"&amp;" for "&amp;'Input'!B7&amp;" in "&amp;'Input'!C7&amp;" ("&amp;'Input'!D7&amp;")"</f>
        <v>0</v>
      </c>
    </row>
    <row r="3" spans="1:1">
      <c r="A3" s="1" t="s">
        <v>1048</v>
      </c>
    </row>
    <row r="4" spans="1:1">
      <c r="A4" s="2" t="s">
        <v>349</v>
      </c>
    </row>
    <row r="5" spans="1:1">
      <c r="A5" s="12" t="s">
        <v>478</v>
      </c>
    </row>
    <row r="6" spans="1:1">
      <c r="A6" s="12" t="s">
        <v>1049</v>
      </c>
    </row>
    <row r="7" spans="1:1">
      <c r="A7" s="12" t="s">
        <v>1050</v>
      </c>
    </row>
    <row r="8" spans="1:1">
      <c r="A8" s="12" t="s">
        <v>1051</v>
      </c>
    </row>
    <row r="9" spans="1:1">
      <c r="A9" s="12" t="s">
        <v>1052</v>
      </c>
    </row>
    <row r="10" spans="1:1">
      <c r="A10" s="12" t="s">
        <v>1053</v>
      </c>
    </row>
    <row r="11" spans="1:1">
      <c r="A11" s="12" t="s">
        <v>1054</v>
      </c>
    </row>
    <row r="12" spans="1:1">
      <c r="A12" s="12" t="s">
        <v>1055</v>
      </c>
    </row>
    <row r="13" spans="1:1">
      <c r="A13" s="12" t="s">
        <v>1056</v>
      </c>
    </row>
    <row r="14" spans="1:1">
      <c r="A14" s="12" t="s">
        <v>1057</v>
      </c>
    </row>
    <row r="15" spans="1:1">
      <c r="A15" s="12" t="s">
        <v>1058</v>
      </c>
    </row>
    <row r="16" spans="1:1">
      <c r="A16" s="12" t="s">
        <v>1059</v>
      </c>
    </row>
    <row r="17" spans="1:3">
      <c r="A17" s="12" t="s">
        <v>1060</v>
      </c>
    </row>
    <row r="18" spans="1:3">
      <c r="A18" s="2" t="s">
        <v>1061</v>
      </c>
    </row>
    <row r="20" spans="1:3">
      <c r="B20" s="3" t="s">
        <v>1062</v>
      </c>
    </row>
    <row r="21" spans="1:3">
      <c r="A21" s="11" t="s">
        <v>172</v>
      </c>
      <c r="B21" s="17">
        <f>0.01*'Input'!F$58*('Aggreg'!E227*'Loads'!E282+'Aggreg'!F227*'Loads'!F282)+10*('Aggreg'!B227*'Loads'!B282+'Aggreg'!C227*'Loads'!C282+'Aggreg'!D227*'Loads'!D282+'Aggreg'!G227*'Loads'!G282)</f>
        <v>0</v>
      </c>
      <c r="C21" s="10"/>
    </row>
    <row r="22" spans="1:3">
      <c r="A22" s="11" t="s">
        <v>173</v>
      </c>
      <c r="B22" s="17">
        <f>0.01*'Input'!F$58*('Aggreg'!E228*'Loads'!E283+'Aggreg'!F228*'Loads'!F283)+10*('Aggreg'!B228*'Loads'!B283+'Aggreg'!C228*'Loads'!C283+'Aggreg'!D228*'Loads'!D283+'Aggreg'!G228*'Loads'!G283)</f>
        <v>0</v>
      </c>
      <c r="C22" s="10"/>
    </row>
    <row r="23" spans="1:3">
      <c r="A23" s="11" t="s">
        <v>210</v>
      </c>
      <c r="B23" s="17">
        <f>0.01*'Input'!F$58*('Aggreg'!E229*'Loads'!E284+'Aggreg'!F229*'Loads'!F284)+10*('Aggreg'!B229*'Loads'!B284+'Aggreg'!C229*'Loads'!C284+'Aggreg'!D229*'Loads'!D284+'Aggreg'!G229*'Loads'!G284)</f>
        <v>0</v>
      </c>
      <c r="C23" s="10"/>
    </row>
    <row r="24" spans="1:3">
      <c r="A24" s="11" t="s">
        <v>174</v>
      </c>
      <c r="B24" s="17">
        <f>0.01*'Input'!F$58*('Aggreg'!E230*'Loads'!E285+'Aggreg'!F230*'Loads'!F285)+10*('Aggreg'!B230*'Loads'!B285+'Aggreg'!C230*'Loads'!C285+'Aggreg'!D230*'Loads'!D285+'Aggreg'!G230*'Loads'!G285)</f>
        <v>0</v>
      </c>
      <c r="C24" s="10"/>
    </row>
    <row r="25" spans="1:3">
      <c r="A25" s="11" t="s">
        <v>175</v>
      </c>
      <c r="B25" s="17">
        <f>0.01*'Input'!F$58*('Aggreg'!E231*'Loads'!E286+'Aggreg'!F231*'Loads'!F286)+10*('Aggreg'!B231*'Loads'!B286+'Aggreg'!C231*'Loads'!C286+'Aggreg'!D231*'Loads'!D286+'Aggreg'!G231*'Loads'!G286)</f>
        <v>0</v>
      </c>
      <c r="C25" s="10"/>
    </row>
    <row r="26" spans="1:3">
      <c r="A26" s="11" t="s">
        <v>211</v>
      </c>
      <c r="B26" s="17">
        <f>0.01*'Input'!F$58*('Aggreg'!E232*'Loads'!E287+'Aggreg'!F232*'Loads'!F287)+10*('Aggreg'!B232*'Loads'!B287+'Aggreg'!C232*'Loads'!C287+'Aggreg'!D232*'Loads'!D287+'Aggreg'!G232*'Loads'!G287)</f>
        <v>0</v>
      </c>
      <c r="C26" s="10"/>
    </row>
    <row r="27" spans="1:3">
      <c r="A27" s="11" t="s">
        <v>176</v>
      </c>
      <c r="B27" s="17">
        <f>0.01*'Input'!F$58*('Aggreg'!E233*'Loads'!E288+'Aggreg'!F233*'Loads'!F288)+10*('Aggreg'!B233*'Loads'!B288+'Aggreg'!C233*'Loads'!C288+'Aggreg'!D233*'Loads'!D288+'Aggreg'!G233*'Loads'!G288)</f>
        <v>0</v>
      </c>
      <c r="C27" s="10"/>
    </row>
    <row r="28" spans="1:3">
      <c r="A28" s="11" t="s">
        <v>177</v>
      </c>
      <c r="B28" s="17">
        <f>0.01*'Input'!F$58*('Aggreg'!E234*'Loads'!E289+'Aggreg'!F234*'Loads'!F289)+10*('Aggreg'!B234*'Loads'!B289+'Aggreg'!C234*'Loads'!C289+'Aggreg'!D234*'Loads'!D289+'Aggreg'!G234*'Loads'!G289)</f>
        <v>0</v>
      </c>
      <c r="C28" s="10"/>
    </row>
    <row r="29" spans="1:3">
      <c r="A29" s="11" t="s">
        <v>191</v>
      </c>
      <c r="B29" s="17">
        <f>0.01*'Input'!F$58*('Aggreg'!E235*'Loads'!E290+'Aggreg'!F235*'Loads'!F290)+10*('Aggreg'!B235*'Loads'!B290+'Aggreg'!C235*'Loads'!C290+'Aggreg'!D235*'Loads'!D290+'Aggreg'!G235*'Loads'!G290)</f>
        <v>0</v>
      </c>
      <c r="C29" s="10"/>
    </row>
    <row r="30" spans="1:3">
      <c r="A30" s="11" t="s">
        <v>178</v>
      </c>
      <c r="B30" s="17">
        <f>0.01*'Input'!F$58*('Aggreg'!E236*'Loads'!E291+'Aggreg'!F236*'Loads'!F291)+10*('Aggreg'!B236*'Loads'!B291+'Aggreg'!C236*'Loads'!C291+'Aggreg'!D236*'Loads'!D291+'Aggreg'!G236*'Loads'!G291)</f>
        <v>0</v>
      </c>
      <c r="C30" s="10"/>
    </row>
    <row r="31" spans="1:3">
      <c r="A31" s="11" t="s">
        <v>179</v>
      </c>
      <c r="B31" s="17">
        <f>0.01*'Input'!F$58*('Aggreg'!E237*'Loads'!E292+'Aggreg'!F237*'Loads'!F292)+10*('Aggreg'!B237*'Loads'!B292+'Aggreg'!C237*'Loads'!C292+'Aggreg'!D237*'Loads'!D292+'Aggreg'!G237*'Loads'!G292)</f>
        <v>0</v>
      </c>
      <c r="C31" s="10"/>
    </row>
    <row r="32" spans="1:3">
      <c r="A32" s="11" t="s">
        <v>192</v>
      </c>
      <c r="B32" s="17">
        <f>0.01*'Input'!F$58*('Aggreg'!E238*'Loads'!E293+'Aggreg'!F238*'Loads'!F293)+10*('Aggreg'!B238*'Loads'!B293+'Aggreg'!C238*'Loads'!C293+'Aggreg'!D238*'Loads'!D293+'Aggreg'!G238*'Loads'!G293)</f>
        <v>0</v>
      </c>
      <c r="C32" s="10"/>
    </row>
    <row r="33" spans="1:3">
      <c r="A33" s="11" t="s">
        <v>212</v>
      </c>
      <c r="B33" s="17">
        <f>0.01*'Input'!F$58*('Aggreg'!E239*'Loads'!E294+'Aggreg'!F239*'Loads'!F294)+10*('Aggreg'!B239*'Loads'!B294+'Aggreg'!C239*'Loads'!C294+'Aggreg'!D239*'Loads'!D294+'Aggreg'!G239*'Loads'!G294)</f>
        <v>0</v>
      </c>
      <c r="C33" s="10"/>
    </row>
    <row r="34" spans="1:3">
      <c r="A34" s="11" t="s">
        <v>213</v>
      </c>
      <c r="B34" s="17">
        <f>0.01*'Input'!F$58*('Aggreg'!E240*'Loads'!E295+'Aggreg'!F240*'Loads'!F295)+10*('Aggreg'!B240*'Loads'!B295+'Aggreg'!C240*'Loads'!C295+'Aggreg'!D240*'Loads'!D295+'Aggreg'!G240*'Loads'!G295)</f>
        <v>0</v>
      </c>
      <c r="C34" s="10"/>
    </row>
    <row r="35" spans="1:3">
      <c r="A35" s="11" t="s">
        <v>214</v>
      </c>
      <c r="B35" s="17">
        <f>0.01*'Input'!F$58*('Aggreg'!E241*'Loads'!E296+'Aggreg'!F241*'Loads'!F296)+10*('Aggreg'!B241*'Loads'!B296+'Aggreg'!C241*'Loads'!C296+'Aggreg'!D241*'Loads'!D296+'Aggreg'!G241*'Loads'!G296)</f>
        <v>0</v>
      </c>
      <c r="C35" s="10"/>
    </row>
    <row r="36" spans="1:3">
      <c r="A36" s="11" t="s">
        <v>215</v>
      </c>
      <c r="B36" s="17">
        <f>0.01*'Input'!F$58*('Aggreg'!E242*'Loads'!E297+'Aggreg'!F242*'Loads'!F297)+10*('Aggreg'!B242*'Loads'!B297+'Aggreg'!C242*'Loads'!C297+'Aggreg'!D242*'Loads'!D297+'Aggreg'!G242*'Loads'!G297)</f>
        <v>0</v>
      </c>
      <c r="C36" s="10"/>
    </row>
    <row r="37" spans="1:3">
      <c r="A37" s="11" t="s">
        <v>216</v>
      </c>
      <c r="B37" s="17">
        <f>0.01*'Input'!F$58*('Aggreg'!E243*'Loads'!E298+'Aggreg'!F243*'Loads'!F298)+10*('Aggreg'!B243*'Loads'!B298+'Aggreg'!C243*'Loads'!C298+'Aggreg'!D243*'Loads'!D298+'Aggreg'!G243*'Loads'!G298)</f>
        <v>0</v>
      </c>
      <c r="C37" s="10"/>
    </row>
    <row r="38" spans="1:3">
      <c r="A38" s="11" t="s">
        <v>180</v>
      </c>
      <c r="B38" s="17">
        <f>0.01*'Input'!F$58*('Aggreg'!E244*'Loads'!E299+'Aggreg'!F244*'Loads'!F299)+10*('Aggreg'!B244*'Loads'!B299+'Aggreg'!C244*'Loads'!C299+'Aggreg'!D244*'Loads'!D299+'Aggreg'!G244*'Loads'!G299)</f>
        <v>0</v>
      </c>
      <c r="C38" s="10"/>
    </row>
    <row r="39" spans="1:3">
      <c r="A39" s="11" t="s">
        <v>181</v>
      </c>
      <c r="B39" s="17">
        <f>0.01*'Input'!F$58*('Aggreg'!E245*'Loads'!E300+'Aggreg'!F245*'Loads'!F300)+10*('Aggreg'!B245*'Loads'!B300+'Aggreg'!C245*'Loads'!C300+'Aggreg'!D245*'Loads'!D300+'Aggreg'!G245*'Loads'!G300)</f>
        <v>0</v>
      </c>
      <c r="C39" s="10"/>
    </row>
    <row r="40" spans="1:3">
      <c r="A40" s="11" t="s">
        <v>182</v>
      </c>
      <c r="B40" s="17">
        <f>0.01*'Input'!F$58*('Aggreg'!E246*'Loads'!E301+'Aggreg'!F246*'Loads'!F301)+10*('Aggreg'!B246*'Loads'!B301+'Aggreg'!C246*'Loads'!C301+'Aggreg'!D246*'Loads'!D301+'Aggreg'!G246*'Loads'!G301)</f>
        <v>0</v>
      </c>
      <c r="C40" s="10"/>
    </row>
    <row r="41" spans="1:3">
      <c r="A41" s="11" t="s">
        <v>183</v>
      </c>
      <c r="B41" s="17">
        <f>0.01*'Input'!F$58*('Aggreg'!E247*'Loads'!E302+'Aggreg'!F247*'Loads'!F302)+10*('Aggreg'!B247*'Loads'!B302+'Aggreg'!C247*'Loads'!C302+'Aggreg'!D247*'Loads'!D302+'Aggreg'!G247*'Loads'!G302)</f>
        <v>0</v>
      </c>
      <c r="C41" s="10"/>
    </row>
    <row r="42" spans="1:3">
      <c r="A42" s="11" t="s">
        <v>184</v>
      </c>
      <c r="B42" s="17">
        <f>0.01*'Input'!F$58*('Aggreg'!E248*'Loads'!E303+'Aggreg'!F248*'Loads'!F303)+10*('Aggreg'!B248*'Loads'!B303+'Aggreg'!C248*'Loads'!C303+'Aggreg'!D248*'Loads'!D303+'Aggreg'!G248*'Loads'!G303)</f>
        <v>0</v>
      </c>
      <c r="C42" s="10"/>
    </row>
    <row r="43" spans="1:3">
      <c r="A43" s="11" t="s">
        <v>185</v>
      </c>
      <c r="B43" s="17">
        <f>0.01*'Input'!F$58*('Aggreg'!E249*'Loads'!E304+'Aggreg'!F249*'Loads'!F304)+10*('Aggreg'!B249*'Loads'!B304+'Aggreg'!C249*'Loads'!C304+'Aggreg'!D249*'Loads'!D304+'Aggreg'!G249*'Loads'!G304)</f>
        <v>0</v>
      </c>
      <c r="C43" s="10"/>
    </row>
    <row r="44" spans="1:3">
      <c r="A44" s="11" t="s">
        <v>193</v>
      </c>
      <c r="B44" s="17">
        <f>0.01*'Input'!F$58*('Aggreg'!E250*'Loads'!E305+'Aggreg'!F250*'Loads'!F305)+10*('Aggreg'!B250*'Loads'!B305+'Aggreg'!C250*'Loads'!C305+'Aggreg'!D250*'Loads'!D305+'Aggreg'!G250*'Loads'!G305)</f>
        <v>0</v>
      </c>
      <c r="C44" s="10"/>
    </row>
    <row r="45" spans="1:3">
      <c r="A45" s="11" t="s">
        <v>194</v>
      </c>
      <c r="B45" s="17">
        <f>0.01*'Input'!F$58*('Aggreg'!E251*'Loads'!E306+'Aggreg'!F251*'Loads'!F306)+10*('Aggreg'!B251*'Loads'!B306+'Aggreg'!C251*'Loads'!C306+'Aggreg'!D251*'Loads'!D306+'Aggreg'!G251*'Loads'!G306)</f>
        <v>0</v>
      </c>
      <c r="C45" s="10"/>
    </row>
    <row r="47" spans="1:3">
      <c r="A47" s="1" t="s">
        <v>1063</v>
      </c>
    </row>
    <row r="48" spans="1:3">
      <c r="A48" s="2" t="s">
        <v>349</v>
      </c>
    </row>
    <row r="49" spans="1:4">
      <c r="A49" s="12" t="s">
        <v>1064</v>
      </c>
    </row>
    <row r="50" spans="1:4">
      <c r="A50" s="2" t="s">
        <v>827</v>
      </c>
    </row>
    <row r="52" spans="1:4">
      <c r="B52" s="3" t="s">
        <v>1065</v>
      </c>
    </row>
    <row r="53" spans="1:4">
      <c r="A53" s="11" t="s">
        <v>50</v>
      </c>
      <c r="B53" s="33">
        <f>'Input'!F$50</f>
        <v>0</v>
      </c>
      <c r="C53" s="10"/>
    </row>
    <row r="55" spans="1:4">
      <c r="A55" s="1" t="s">
        <v>1066</v>
      </c>
    </row>
    <row r="56" spans="1:4">
      <c r="A56" s="2" t="s">
        <v>349</v>
      </c>
    </row>
    <row r="57" spans="1:4">
      <c r="A57" s="12" t="s">
        <v>1067</v>
      </c>
    </row>
    <row r="58" spans="1:4">
      <c r="A58" s="12" t="s">
        <v>1068</v>
      </c>
    </row>
    <row r="59" spans="1:4">
      <c r="A59" s="12" t="s">
        <v>1069</v>
      </c>
    </row>
    <row r="60" spans="1:4">
      <c r="A60" s="26" t="s">
        <v>352</v>
      </c>
      <c r="B60" s="26" t="s">
        <v>483</v>
      </c>
      <c r="C60" s="26" t="s">
        <v>482</v>
      </c>
    </row>
    <row r="61" spans="1:4">
      <c r="A61" s="26" t="s">
        <v>355</v>
      </c>
      <c r="B61" s="26" t="s">
        <v>533</v>
      </c>
      <c r="C61" s="26" t="s">
        <v>1070</v>
      </c>
    </row>
    <row r="63" spans="1:4">
      <c r="B63" s="3" t="s">
        <v>1071</v>
      </c>
      <c r="C63" s="3" t="s">
        <v>1072</v>
      </c>
    </row>
    <row r="64" spans="1:4">
      <c r="A64" s="11" t="s">
        <v>1073</v>
      </c>
      <c r="B64" s="17">
        <f>SUM(B$21:B$45)</f>
        <v>0</v>
      </c>
      <c r="C64" s="17">
        <f>B$53-B64</f>
        <v>0</v>
      </c>
      <c r="D64" s="10"/>
    </row>
  </sheetData>
  <sheetProtection sheet="1" objects="1" scenarios="1"/>
  <hyperlinks>
    <hyperlink ref="A5" location="'Input'!F57" display="x1 = 1010. Days in the charging year (in Financial and general assumptions)"/>
    <hyperlink ref="A6" location="'Aggreg'!E226" display="x2 = 3307. Fixed charge p/MPAN/day (total) (in Summary of charges before revenue matching)"/>
    <hyperlink ref="A7" location="'Loads'!E281" display="x3 = 2305. MPANs (in Equivalent volume for each end user)"/>
    <hyperlink ref="A8" location="'Aggreg'!F226" display="x4 = 3307. Capacity charge p/kVA/day (total) (in Summary of charges before revenue matching)"/>
    <hyperlink ref="A9" location="'Loads'!F281" display="x5 = 2305. Import capacity (kVA) (in Equivalent volume for each end user)"/>
    <hyperlink ref="A10" location="'Aggreg'!B226" display="x6 = 3307. Unit rate 1 p/kWh (total) (in Summary of charges before revenue matching)"/>
    <hyperlink ref="A11" location="'Loads'!B281" display="x7 = 2305. Rate 1 units (MWh) (in Equivalent volume for each end user)"/>
    <hyperlink ref="A12" location="'Aggreg'!C226" display="x8 = 3307. Unit rate 2 p/kWh (total) (in Summary of charges before revenue matching)"/>
    <hyperlink ref="A13" location="'Loads'!C281" display="x9 = 2305. Rate 2 units (MWh) (in Equivalent volume for each end user)"/>
    <hyperlink ref="A14" location="'Aggreg'!D226" display="x10 = 3307. Unit rate 3 p/kWh (total) (in Summary of charges before revenue matching)"/>
    <hyperlink ref="A15" location="'Loads'!D281" display="x11 = 2305. Rate 3 units (MWh) (in Equivalent volume for each end user)"/>
    <hyperlink ref="A16" location="'Aggreg'!G226" display="x12 = 3307. Reactive power charge p/kVArh (in Summary of charges before revenue matching)"/>
    <hyperlink ref="A17" location="'Loads'!G281" display="x13 = 2305. Reactive power units (MVArh) (in Equivalent volume for each end user)"/>
    <hyperlink ref="A49" location="'Input'!F11" display="x1 = 1001. Revenue elements and subtotals (£/year) (in CDCM target revenue)"/>
    <hyperlink ref="A57" location="'Revenue'!B20" display="x1 = 3401. Net revenues by tariff before matching (£)"/>
    <hyperlink ref="A58" location="'Revenue'!B52" display="x2 = 3402. Target CDCM revenue (£/year)"/>
    <hyperlink ref="A59" location="'Revenue'!B63" display="x3 = Total net revenues before matching (£) (in Revenue surplus or shortfall)"/>
  </hyperlink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6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>
      <c r="A1" s="1">
        <f>"Adder"&amp;" for "&amp;'Input'!B7&amp;" in "&amp;'Input'!C7&amp;" ("&amp;'Input'!D7&amp;")"</f>
        <v>0</v>
      </c>
    </row>
    <row r="3" spans="1:1">
      <c r="A3" s="1" t="s">
        <v>1074</v>
      </c>
    </row>
    <row r="4" spans="1:1">
      <c r="A4" s="2" t="s">
        <v>349</v>
      </c>
    </row>
    <row r="5" spans="1:1">
      <c r="A5" s="12" t="s">
        <v>1075</v>
      </c>
    </row>
    <row r="6" spans="1:1">
      <c r="A6" s="12" t="s">
        <v>573</v>
      </c>
    </row>
    <row r="7" spans="1:1">
      <c r="A7" s="12" t="s">
        <v>1076</v>
      </c>
    </row>
    <row r="8" spans="1:1">
      <c r="A8" s="12" t="s">
        <v>575</v>
      </c>
    </row>
    <row r="9" spans="1:1">
      <c r="A9" s="12" t="s">
        <v>1077</v>
      </c>
    </row>
    <row r="10" spans="1:1">
      <c r="A10" s="12" t="s">
        <v>585</v>
      </c>
    </row>
    <row r="11" spans="1:1">
      <c r="A11" s="12" t="s">
        <v>998</v>
      </c>
    </row>
    <row r="12" spans="1:1">
      <c r="A12" s="12" t="s">
        <v>1078</v>
      </c>
    </row>
    <row r="13" spans="1:1">
      <c r="A13" s="12" t="s">
        <v>1079</v>
      </c>
    </row>
    <row r="14" spans="1:1">
      <c r="A14" s="12" t="s">
        <v>1080</v>
      </c>
    </row>
    <row r="15" spans="1:1">
      <c r="A15" s="12" t="s">
        <v>1081</v>
      </c>
    </row>
    <row r="16" spans="1:1">
      <c r="A16" s="12" t="s">
        <v>1082</v>
      </c>
    </row>
    <row r="17" spans="1:6">
      <c r="A17" s="12" t="s">
        <v>1083</v>
      </c>
    </row>
    <row r="18" spans="1:6">
      <c r="A18" s="12" t="s">
        <v>1084</v>
      </c>
    </row>
    <row r="19" spans="1:6">
      <c r="A19" s="26" t="s">
        <v>352</v>
      </c>
      <c r="B19" s="26" t="s">
        <v>482</v>
      </c>
      <c r="C19" s="26" t="s">
        <v>482</v>
      </c>
      <c r="D19" s="26" t="s">
        <v>482</v>
      </c>
      <c r="E19" s="26" t="s">
        <v>482</v>
      </c>
    </row>
    <row r="20" spans="1:6">
      <c r="A20" s="26" t="s">
        <v>355</v>
      </c>
      <c r="B20" s="26" t="s">
        <v>1085</v>
      </c>
      <c r="C20" s="26" t="s">
        <v>1086</v>
      </c>
      <c r="D20" s="26" t="s">
        <v>1087</v>
      </c>
      <c r="E20" s="26" t="s">
        <v>1088</v>
      </c>
    </row>
    <row r="22" spans="1:6">
      <c r="B22" s="3" t="s">
        <v>1089</v>
      </c>
      <c r="C22" s="3" t="s">
        <v>1090</v>
      </c>
      <c r="D22" s="3" t="s">
        <v>1091</v>
      </c>
      <c r="E22" s="3" t="s">
        <v>1092</v>
      </c>
    </row>
    <row r="23" spans="1:6">
      <c r="A23" s="11" t="s">
        <v>172</v>
      </c>
      <c r="B23" s="17">
        <f>10*('Aggreg'!B227*'Loads'!B282+'Aggreg'!C227*'Loads'!C282+'Aggreg'!D227*'Loads'!D282)</f>
        <v>0</v>
      </c>
      <c r="C23" s="17">
        <f>0.01*'Input'!F$58*'Aggreg'!E227*'Loads'!E282</f>
        <v>0</v>
      </c>
      <c r="D23" s="17">
        <f>IF('Loads'!B44&lt;0,0,0.01*'Input'!F$58*'Aggreg'!F227*'Loads'!F282)</f>
        <v>0</v>
      </c>
      <c r="E23" s="17">
        <f>10*'Aggreg'!G227*'Loads'!G282</f>
        <v>0</v>
      </c>
      <c r="F23" s="10"/>
    </row>
    <row r="24" spans="1:6">
      <c r="A24" s="11" t="s">
        <v>173</v>
      </c>
      <c r="B24" s="17">
        <f>10*('Aggreg'!B228*'Loads'!B283+'Aggreg'!C228*'Loads'!C283+'Aggreg'!D228*'Loads'!D283)</f>
        <v>0</v>
      </c>
      <c r="C24" s="17">
        <f>0.01*'Input'!F$58*'Aggreg'!E228*'Loads'!E283</f>
        <v>0</v>
      </c>
      <c r="D24" s="17">
        <f>IF('Loads'!B45&lt;0,0,0.01*'Input'!F$58*'Aggreg'!F228*'Loads'!F283)</f>
        <v>0</v>
      </c>
      <c r="E24" s="17">
        <f>10*'Aggreg'!G228*'Loads'!G283</f>
        <v>0</v>
      </c>
      <c r="F24" s="10"/>
    </row>
    <row r="25" spans="1:6">
      <c r="A25" s="11" t="s">
        <v>210</v>
      </c>
      <c r="B25" s="17">
        <f>10*('Aggreg'!B229*'Loads'!B284+'Aggreg'!C229*'Loads'!C284+'Aggreg'!D229*'Loads'!D284)</f>
        <v>0</v>
      </c>
      <c r="C25" s="17">
        <f>0.01*'Input'!F$58*'Aggreg'!E229*'Loads'!E284</f>
        <v>0</v>
      </c>
      <c r="D25" s="17">
        <f>IF('Loads'!B46&lt;0,0,0.01*'Input'!F$58*'Aggreg'!F229*'Loads'!F284)</f>
        <v>0</v>
      </c>
      <c r="E25" s="17">
        <f>10*'Aggreg'!G229*'Loads'!G284</f>
        <v>0</v>
      </c>
      <c r="F25" s="10"/>
    </row>
    <row r="26" spans="1:6">
      <c r="A26" s="11" t="s">
        <v>174</v>
      </c>
      <c r="B26" s="17">
        <f>10*('Aggreg'!B230*'Loads'!B285+'Aggreg'!C230*'Loads'!C285+'Aggreg'!D230*'Loads'!D285)</f>
        <v>0</v>
      </c>
      <c r="C26" s="17">
        <f>0.01*'Input'!F$58*'Aggreg'!E230*'Loads'!E285</f>
        <v>0</v>
      </c>
      <c r="D26" s="17">
        <f>IF('Loads'!B47&lt;0,0,0.01*'Input'!F$58*'Aggreg'!F230*'Loads'!F285)</f>
        <v>0</v>
      </c>
      <c r="E26" s="17">
        <f>10*'Aggreg'!G230*'Loads'!G285</f>
        <v>0</v>
      </c>
      <c r="F26" s="10"/>
    </row>
    <row r="27" spans="1:6">
      <c r="A27" s="11" t="s">
        <v>175</v>
      </c>
      <c r="B27" s="17">
        <f>10*('Aggreg'!B231*'Loads'!B286+'Aggreg'!C231*'Loads'!C286+'Aggreg'!D231*'Loads'!D286)</f>
        <v>0</v>
      </c>
      <c r="C27" s="17">
        <f>0.01*'Input'!F$58*'Aggreg'!E231*'Loads'!E286</f>
        <v>0</v>
      </c>
      <c r="D27" s="17">
        <f>IF('Loads'!B48&lt;0,0,0.01*'Input'!F$58*'Aggreg'!F231*'Loads'!F286)</f>
        <v>0</v>
      </c>
      <c r="E27" s="17">
        <f>10*'Aggreg'!G231*'Loads'!G286</f>
        <v>0</v>
      </c>
      <c r="F27" s="10"/>
    </row>
    <row r="28" spans="1:6">
      <c r="A28" s="11" t="s">
        <v>211</v>
      </c>
      <c r="B28" s="17">
        <f>10*('Aggreg'!B232*'Loads'!B287+'Aggreg'!C232*'Loads'!C287+'Aggreg'!D232*'Loads'!D287)</f>
        <v>0</v>
      </c>
      <c r="C28" s="17">
        <f>0.01*'Input'!F$58*'Aggreg'!E232*'Loads'!E287</f>
        <v>0</v>
      </c>
      <c r="D28" s="17">
        <f>IF('Loads'!B49&lt;0,0,0.01*'Input'!F$58*'Aggreg'!F232*'Loads'!F287)</f>
        <v>0</v>
      </c>
      <c r="E28" s="17">
        <f>10*'Aggreg'!G232*'Loads'!G287</f>
        <v>0</v>
      </c>
      <c r="F28" s="10"/>
    </row>
    <row r="29" spans="1:6">
      <c r="A29" s="11" t="s">
        <v>176</v>
      </c>
      <c r="B29" s="17">
        <f>10*('Aggreg'!B233*'Loads'!B288+'Aggreg'!C233*'Loads'!C288+'Aggreg'!D233*'Loads'!D288)</f>
        <v>0</v>
      </c>
      <c r="C29" s="17">
        <f>0.01*'Input'!F$58*'Aggreg'!E233*'Loads'!E288</f>
        <v>0</v>
      </c>
      <c r="D29" s="17">
        <f>IF('Loads'!B50&lt;0,0,0.01*'Input'!F$58*'Aggreg'!F233*'Loads'!F288)</f>
        <v>0</v>
      </c>
      <c r="E29" s="17">
        <f>10*'Aggreg'!G233*'Loads'!G288</f>
        <v>0</v>
      </c>
      <c r="F29" s="10"/>
    </row>
    <row r="30" spans="1:6">
      <c r="A30" s="11" t="s">
        <v>177</v>
      </c>
      <c r="B30" s="17">
        <f>10*('Aggreg'!B234*'Loads'!B289+'Aggreg'!C234*'Loads'!C289+'Aggreg'!D234*'Loads'!D289)</f>
        <v>0</v>
      </c>
      <c r="C30" s="17">
        <f>0.01*'Input'!F$58*'Aggreg'!E234*'Loads'!E289</f>
        <v>0</v>
      </c>
      <c r="D30" s="17">
        <f>IF('Loads'!B51&lt;0,0,0.01*'Input'!F$58*'Aggreg'!F234*'Loads'!F289)</f>
        <v>0</v>
      </c>
      <c r="E30" s="17">
        <f>10*'Aggreg'!G234*'Loads'!G289</f>
        <v>0</v>
      </c>
      <c r="F30" s="10"/>
    </row>
    <row r="31" spans="1:6">
      <c r="A31" s="11" t="s">
        <v>191</v>
      </c>
      <c r="B31" s="17">
        <f>10*('Aggreg'!B235*'Loads'!B290+'Aggreg'!C235*'Loads'!C290+'Aggreg'!D235*'Loads'!D290)</f>
        <v>0</v>
      </c>
      <c r="C31" s="17">
        <f>0.01*'Input'!F$58*'Aggreg'!E235*'Loads'!E290</f>
        <v>0</v>
      </c>
      <c r="D31" s="17">
        <f>IF('Loads'!B52&lt;0,0,0.01*'Input'!F$58*'Aggreg'!F235*'Loads'!F290)</f>
        <v>0</v>
      </c>
      <c r="E31" s="17">
        <f>10*'Aggreg'!G235*'Loads'!G290</f>
        <v>0</v>
      </c>
      <c r="F31" s="10"/>
    </row>
    <row r="32" spans="1:6">
      <c r="A32" s="11" t="s">
        <v>178</v>
      </c>
      <c r="B32" s="17">
        <f>10*('Aggreg'!B236*'Loads'!B291+'Aggreg'!C236*'Loads'!C291+'Aggreg'!D236*'Loads'!D291)</f>
        <v>0</v>
      </c>
      <c r="C32" s="17">
        <f>0.01*'Input'!F$58*'Aggreg'!E236*'Loads'!E291</f>
        <v>0</v>
      </c>
      <c r="D32" s="17">
        <f>IF('Loads'!B53&lt;0,0,0.01*'Input'!F$58*'Aggreg'!F236*'Loads'!F291)</f>
        <v>0</v>
      </c>
      <c r="E32" s="17">
        <f>10*'Aggreg'!G236*'Loads'!G291</f>
        <v>0</v>
      </c>
      <c r="F32" s="10"/>
    </row>
    <row r="33" spans="1:6">
      <c r="A33" s="11" t="s">
        <v>179</v>
      </c>
      <c r="B33" s="17">
        <f>10*('Aggreg'!B237*'Loads'!B292+'Aggreg'!C237*'Loads'!C292+'Aggreg'!D237*'Loads'!D292)</f>
        <v>0</v>
      </c>
      <c r="C33" s="17">
        <f>0.01*'Input'!F$58*'Aggreg'!E237*'Loads'!E292</f>
        <v>0</v>
      </c>
      <c r="D33" s="17">
        <f>IF('Loads'!B54&lt;0,0,0.01*'Input'!F$58*'Aggreg'!F237*'Loads'!F292)</f>
        <v>0</v>
      </c>
      <c r="E33" s="17">
        <f>10*'Aggreg'!G237*'Loads'!G292</f>
        <v>0</v>
      </c>
      <c r="F33" s="10"/>
    </row>
    <row r="34" spans="1:6">
      <c r="A34" s="11" t="s">
        <v>192</v>
      </c>
      <c r="B34" s="17">
        <f>10*('Aggreg'!B238*'Loads'!B293+'Aggreg'!C238*'Loads'!C293+'Aggreg'!D238*'Loads'!D293)</f>
        <v>0</v>
      </c>
      <c r="C34" s="17">
        <f>0.01*'Input'!F$58*'Aggreg'!E238*'Loads'!E293</f>
        <v>0</v>
      </c>
      <c r="D34" s="17">
        <f>IF('Loads'!B55&lt;0,0,0.01*'Input'!F$58*'Aggreg'!F238*'Loads'!F293)</f>
        <v>0</v>
      </c>
      <c r="E34" s="17">
        <f>10*'Aggreg'!G238*'Loads'!G293</f>
        <v>0</v>
      </c>
      <c r="F34" s="10"/>
    </row>
    <row r="35" spans="1:6">
      <c r="A35" s="11" t="s">
        <v>212</v>
      </c>
      <c r="B35" s="17">
        <f>10*('Aggreg'!B239*'Loads'!B294+'Aggreg'!C239*'Loads'!C294+'Aggreg'!D239*'Loads'!D294)</f>
        <v>0</v>
      </c>
      <c r="C35" s="17">
        <f>0.01*'Input'!F$58*'Aggreg'!E239*'Loads'!E294</f>
        <v>0</v>
      </c>
      <c r="D35" s="17">
        <f>IF('Loads'!B56&lt;0,0,0.01*'Input'!F$58*'Aggreg'!F239*'Loads'!F294)</f>
        <v>0</v>
      </c>
      <c r="E35" s="17">
        <f>10*'Aggreg'!G239*'Loads'!G294</f>
        <v>0</v>
      </c>
      <c r="F35" s="10"/>
    </row>
    <row r="36" spans="1:6">
      <c r="A36" s="11" t="s">
        <v>213</v>
      </c>
      <c r="B36" s="17">
        <f>10*('Aggreg'!B240*'Loads'!B295+'Aggreg'!C240*'Loads'!C295+'Aggreg'!D240*'Loads'!D295)</f>
        <v>0</v>
      </c>
      <c r="C36" s="17">
        <f>0.01*'Input'!F$58*'Aggreg'!E240*'Loads'!E295</f>
        <v>0</v>
      </c>
      <c r="D36" s="17">
        <f>IF('Loads'!B57&lt;0,0,0.01*'Input'!F$58*'Aggreg'!F240*'Loads'!F295)</f>
        <v>0</v>
      </c>
      <c r="E36" s="17">
        <f>10*'Aggreg'!G240*'Loads'!G295</f>
        <v>0</v>
      </c>
      <c r="F36" s="10"/>
    </row>
    <row r="37" spans="1:6">
      <c r="A37" s="11" t="s">
        <v>214</v>
      </c>
      <c r="B37" s="17">
        <f>10*('Aggreg'!B241*'Loads'!B296+'Aggreg'!C241*'Loads'!C296+'Aggreg'!D241*'Loads'!D296)</f>
        <v>0</v>
      </c>
      <c r="C37" s="17">
        <f>0.01*'Input'!F$58*'Aggreg'!E241*'Loads'!E296</f>
        <v>0</v>
      </c>
      <c r="D37" s="17">
        <f>IF('Loads'!B58&lt;0,0,0.01*'Input'!F$58*'Aggreg'!F241*'Loads'!F296)</f>
        <v>0</v>
      </c>
      <c r="E37" s="17">
        <f>10*'Aggreg'!G241*'Loads'!G296</f>
        <v>0</v>
      </c>
      <c r="F37" s="10"/>
    </row>
    <row r="38" spans="1:6">
      <c r="A38" s="11" t="s">
        <v>215</v>
      </c>
      <c r="B38" s="17">
        <f>10*('Aggreg'!B242*'Loads'!B297+'Aggreg'!C242*'Loads'!C297+'Aggreg'!D242*'Loads'!D297)</f>
        <v>0</v>
      </c>
      <c r="C38" s="17">
        <f>0.01*'Input'!F$58*'Aggreg'!E242*'Loads'!E297</f>
        <v>0</v>
      </c>
      <c r="D38" s="17">
        <f>IF('Loads'!B59&lt;0,0,0.01*'Input'!F$58*'Aggreg'!F242*'Loads'!F297)</f>
        <v>0</v>
      </c>
      <c r="E38" s="17">
        <f>10*'Aggreg'!G242*'Loads'!G297</f>
        <v>0</v>
      </c>
      <c r="F38" s="10"/>
    </row>
    <row r="39" spans="1:6">
      <c r="A39" s="11" t="s">
        <v>216</v>
      </c>
      <c r="B39" s="17">
        <f>10*('Aggreg'!B243*'Loads'!B298+'Aggreg'!C243*'Loads'!C298+'Aggreg'!D243*'Loads'!D298)</f>
        <v>0</v>
      </c>
      <c r="C39" s="17">
        <f>0.01*'Input'!F$58*'Aggreg'!E243*'Loads'!E298</f>
        <v>0</v>
      </c>
      <c r="D39" s="17">
        <f>IF('Loads'!B60&lt;0,0,0.01*'Input'!F$58*'Aggreg'!F243*'Loads'!F298)</f>
        <v>0</v>
      </c>
      <c r="E39" s="17">
        <f>10*'Aggreg'!G243*'Loads'!G298</f>
        <v>0</v>
      </c>
      <c r="F39" s="10"/>
    </row>
    <row r="40" spans="1:6">
      <c r="A40" s="11" t="s">
        <v>180</v>
      </c>
      <c r="B40" s="17">
        <f>10*('Aggreg'!B244*'Loads'!B299+'Aggreg'!C244*'Loads'!C299+'Aggreg'!D244*'Loads'!D299)</f>
        <v>0</v>
      </c>
      <c r="C40" s="17">
        <f>0.01*'Input'!F$58*'Aggreg'!E244*'Loads'!E299</f>
        <v>0</v>
      </c>
      <c r="D40" s="17">
        <f>IF('Loads'!B61&lt;0,0,0.01*'Input'!F$58*'Aggreg'!F244*'Loads'!F299)</f>
        <v>0</v>
      </c>
      <c r="E40" s="17">
        <f>10*'Aggreg'!G244*'Loads'!G299</f>
        <v>0</v>
      </c>
      <c r="F40" s="10"/>
    </row>
    <row r="41" spans="1:6">
      <c r="A41" s="11" t="s">
        <v>181</v>
      </c>
      <c r="B41" s="17">
        <f>10*('Aggreg'!B245*'Loads'!B300+'Aggreg'!C245*'Loads'!C300+'Aggreg'!D245*'Loads'!D300)</f>
        <v>0</v>
      </c>
      <c r="C41" s="17">
        <f>0.01*'Input'!F$58*'Aggreg'!E245*'Loads'!E300</f>
        <v>0</v>
      </c>
      <c r="D41" s="17">
        <f>IF('Loads'!B62&lt;0,0,0.01*'Input'!F$58*'Aggreg'!F245*'Loads'!F300)</f>
        <v>0</v>
      </c>
      <c r="E41" s="17">
        <f>10*'Aggreg'!G245*'Loads'!G300</f>
        <v>0</v>
      </c>
      <c r="F41" s="10"/>
    </row>
    <row r="42" spans="1:6">
      <c r="A42" s="11" t="s">
        <v>182</v>
      </c>
      <c r="B42" s="17">
        <f>10*('Aggreg'!B246*'Loads'!B301+'Aggreg'!C246*'Loads'!C301+'Aggreg'!D246*'Loads'!D301)</f>
        <v>0</v>
      </c>
      <c r="C42" s="17">
        <f>0.01*'Input'!F$58*'Aggreg'!E246*'Loads'!E301</f>
        <v>0</v>
      </c>
      <c r="D42" s="17">
        <f>IF('Loads'!B63&lt;0,0,0.01*'Input'!F$58*'Aggreg'!F246*'Loads'!F301)</f>
        <v>0</v>
      </c>
      <c r="E42" s="17">
        <f>10*'Aggreg'!G246*'Loads'!G301</f>
        <v>0</v>
      </c>
      <c r="F42" s="10"/>
    </row>
    <row r="43" spans="1:6">
      <c r="A43" s="11" t="s">
        <v>183</v>
      </c>
      <c r="B43" s="17">
        <f>10*('Aggreg'!B247*'Loads'!B302+'Aggreg'!C247*'Loads'!C302+'Aggreg'!D247*'Loads'!D302)</f>
        <v>0</v>
      </c>
      <c r="C43" s="17">
        <f>0.01*'Input'!F$58*'Aggreg'!E247*'Loads'!E302</f>
        <v>0</v>
      </c>
      <c r="D43" s="17">
        <f>IF('Loads'!B64&lt;0,0,0.01*'Input'!F$58*'Aggreg'!F247*'Loads'!F302)</f>
        <v>0</v>
      </c>
      <c r="E43" s="17">
        <f>10*'Aggreg'!G247*'Loads'!G302</f>
        <v>0</v>
      </c>
      <c r="F43" s="10"/>
    </row>
    <row r="44" spans="1:6">
      <c r="A44" s="11" t="s">
        <v>184</v>
      </c>
      <c r="B44" s="17">
        <f>10*('Aggreg'!B248*'Loads'!B303+'Aggreg'!C248*'Loads'!C303+'Aggreg'!D248*'Loads'!D303)</f>
        <v>0</v>
      </c>
      <c r="C44" s="17">
        <f>0.01*'Input'!F$58*'Aggreg'!E248*'Loads'!E303</f>
        <v>0</v>
      </c>
      <c r="D44" s="17">
        <f>IF('Loads'!B65&lt;0,0,0.01*'Input'!F$58*'Aggreg'!F248*'Loads'!F303)</f>
        <v>0</v>
      </c>
      <c r="E44" s="17">
        <f>10*'Aggreg'!G248*'Loads'!G303</f>
        <v>0</v>
      </c>
      <c r="F44" s="10"/>
    </row>
    <row r="45" spans="1:6">
      <c r="A45" s="11" t="s">
        <v>185</v>
      </c>
      <c r="B45" s="17">
        <f>10*('Aggreg'!B249*'Loads'!B304+'Aggreg'!C249*'Loads'!C304+'Aggreg'!D249*'Loads'!D304)</f>
        <v>0</v>
      </c>
      <c r="C45" s="17">
        <f>0.01*'Input'!F$58*'Aggreg'!E249*'Loads'!E304</f>
        <v>0</v>
      </c>
      <c r="D45" s="17">
        <f>IF('Loads'!B66&lt;0,0,0.01*'Input'!F$58*'Aggreg'!F249*'Loads'!F304)</f>
        <v>0</v>
      </c>
      <c r="E45" s="17">
        <f>10*'Aggreg'!G249*'Loads'!G304</f>
        <v>0</v>
      </c>
      <c r="F45" s="10"/>
    </row>
    <row r="46" spans="1:6">
      <c r="A46" s="11" t="s">
        <v>193</v>
      </c>
      <c r="B46" s="17">
        <f>10*('Aggreg'!B250*'Loads'!B305+'Aggreg'!C250*'Loads'!C305+'Aggreg'!D250*'Loads'!D305)</f>
        <v>0</v>
      </c>
      <c r="C46" s="17">
        <f>0.01*'Input'!F$58*'Aggreg'!E250*'Loads'!E305</f>
        <v>0</v>
      </c>
      <c r="D46" s="17">
        <f>IF('Loads'!B67&lt;0,0,0.01*'Input'!F$58*'Aggreg'!F250*'Loads'!F305)</f>
        <v>0</v>
      </c>
      <c r="E46" s="17">
        <f>10*'Aggreg'!G250*'Loads'!G305</f>
        <v>0</v>
      </c>
      <c r="F46" s="10"/>
    </row>
    <row r="47" spans="1:6">
      <c r="A47" s="11" t="s">
        <v>194</v>
      </c>
      <c r="B47" s="17">
        <f>10*('Aggreg'!B251*'Loads'!B306+'Aggreg'!C251*'Loads'!C306+'Aggreg'!D251*'Loads'!D306)</f>
        <v>0</v>
      </c>
      <c r="C47" s="17">
        <f>0.01*'Input'!F$58*'Aggreg'!E251*'Loads'!E306</f>
        <v>0</v>
      </c>
      <c r="D47" s="17">
        <f>IF('Loads'!B68&lt;0,0,0.01*'Input'!F$58*'Aggreg'!F251*'Loads'!F306)</f>
        <v>0</v>
      </c>
      <c r="E47" s="17">
        <f>10*'Aggreg'!G251*'Loads'!G306</f>
        <v>0</v>
      </c>
      <c r="F47" s="10"/>
    </row>
    <row r="49" spans="1:6">
      <c r="A49" s="1" t="s">
        <v>1093</v>
      </c>
    </row>
    <row r="50" spans="1:6">
      <c r="A50" s="2" t="s">
        <v>349</v>
      </c>
    </row>
    <row r="51" spans="1:6">
      <c r="A51" s="12" t="s">
        <v>1094</v>
      </c>
    </row>
    <row r="52" spans="1:6">
      <c r="A52" s="12" t="s">
        <v>1095</v>
      </c>
    </row>
    <row r="53" spans="1:6">
      <c r="A53" s="12" t="s">
        <v>1096</v>
      </c>
    </row>
    <row r="54" spans="1:6">
      <c r="A54" s="12" t="s">
        <v>1097</v>
      </c>
    </row>
    <row r="55" spans="1:6">
      <c r="A55" s="26" t="s">
        <v>352</v>
      </c>
      <c r="B55" s="26" t="s">
        <v>483</v>
      </c>
      <c r="C55" s="26" t="s">
        <v>483</v>
      </c>
      <c r="D55" s="26" t="s">
        <v>483</v>
      </c>
      <c r="E55" s="26" t="s">
        <v>483</v>
      </c>
    </row>
    <row r="56" spans="1:6">
      <c r="A56" s="26" t="s">
        <v>355</v>
      </c>
      <c r="B56" s="26" t="s">
        <v>533</v>
      </c>
      <c r="C56" s="26" t="s">
        <v>534</v>
      </c>
      <c r="D56" s="26" t="s">
        <v>535</v>
      </c>
      <c r="E56" s="26" t="s">
        <v>536</v>
      </c>
    </row>
    <row r="58" spans="1:6">
      <c r="B58" s="3" t="s">
        <v>1098</v>
      </c>
      <c r="C58" s="3" t="s">
        <v>1099</v>
      </c>
      <c r="D58" s="3" t="s">
        <v>1100</v>
      </c>
      <c r="E58" s="3" t="s">
        <v>1101</v>
      </c>
    </row>
    <row r="59" spans="1:6">
      <c r="A59" s="11" t="s">
        <v>1102</v>
      </c>
      <c r="B59" s="17">
        <f>SUM(B$23:B$47)</f>
        <v>0</v>
      </c>
      <c r="C59" s="17">
        <f>SUM(C$23:C$47)</f>
        <v>0</v>
      </c>
      <c r="D59" s="17">
        <f>SUM(D$23:D$47)</f>
        <v>0</v>
      </c>
      <c r="E59" s="17">
        <f>SUM(E$23:E$47)</f>
        <v>0</v>
      </c>
      <c r="F59" s="10"/>
    </row>
    <row r="61" spans="1:6">
      <c r="A61" s="1" t="s">
        <v>1103</v>
      </c>
    </row>
    <row r="62" spans="1:6">
      <c r="A62" s="2" t="s">
        <v>349</v>
      </c>
    </row>
    <row r="63" spans="1:6">
      <c r="A63" s="12" t="s">
        <v>1104</v>
      </c>
    </row>
    <row r="64" spans="1:6">
      <c r="A64" s="12" t="s">
        <v>1105</v>
      </c>
    </row>
    <row r="65" spans="1:6">
      <c r="A65" s="12" t="s">
        <v>1106</v>
      </c>
    </row>
    <row r="66" spans="1:6">
      <c r="A66" s="12" t="s">
        <v>1107</v>
      </c>
    </row>
    <row r="67" spans="1:6">
      <c r="A67" s="12" t="s">
        <v>1108</v>
      </c>
    </row>
    <row r="68" spans="1:6">
      <c r="A68" s="26" t="s">
        <v>352</v>
      </c>
      <c r="B68" s="26" t="s">
        <v>482</v>
      </c>
      <c r="C68" s="26" t="s">
        <v>482</v>
      </c>
      <c r="D68" s="26" t="s">
        <v>482</v>
      </c>
      <c r="E68" s="26" t="s">
        <v>482</v>
      </c>
    </row>
    <row r="69" spans="1:6">
      <c r="A69" s="26" t="s">
        <v>355</v>
      </c>
      <c r="B69" s="26" t="s">
        <v>1109</v>
      </c>
      <c r="C69" s="26" t="s">
        <v>1110</v>
      </c>
      <c r="D69" s="26" t="s">
        <v>1111</v>
      </c>
      <c r="E69" s="26" t="s">
        <v>1112</v>
      </c>
    </row>
    <row r="71" spans="1:6">
      <c r="B71" s="3" t="s">
        <v>1113</v>
      </c>
      <c r="C71" s="3" t="s">
        <v>1114</v>
      </c>
      <c r="D71" s="3" t="s">
        <v>1115</v>
      </c>
      <c r="E71" s="3" t="s">
        <v>1116</v>
      </c>
    </row>
    <row r="72" spans="1:6">
      <c r="A72" s="11" t="s">
        <v>1117</v>
      </c>
      <c r="B72" s="17">
        <f>'Revenue'!C64*B59/(B59+C59+D59+E59)</f>
        <v>0</v>
      </c>
      <c r="C72" s="17">
        <f>'Revenue'!C64*C59/(B59+C59+D59+E59)</f>
        <v>0</v>
      </c>
      <c r="D72" s="17">
        <f>'Revenue'!C64*D59/(B59+C59+D59+E59)</f>
        <v>0</v>
      </c>
      <c r="E72" s="17">
        <f>'Revenue'!C64*E59/(B59+C59+D59+E59)</f>
        <v>0</v>
      </c>
      <c r="F72" s="10"/>
    </row>
    <row r="74" spans="1:6">
      <c r="A74" s="1" t="s">
        <v>1118</v>
      </c>
    </row>
    <row r="75" spans="1:6">
      <c r="A75" s="2" t="s">
        <v>349</v>
      </c>
    </row>
    <row r="76" spans="1:6">
      <c r="A76" s="12" t="s">
        <v>991</v>
      </c>
    </row>
    <row r="77" spans="1:6">
      <c r="A77" s="12" t="s">
        <v>1119</v>
      </c>
    </row>
    <row r="78" spans="1:6">
      <c r="A78" s="12" t="s">
        <v>1076</v>
      </c>
    </row>
    <row r="79" spans="1:6">
      <c r="A79" s="12" t="s">
        <v>1120</v>
      </c>
    </row>
    <row r="80" spans="1:6">
      <c r="A80" s="26" t="s">
        <v>352</v>
      </c>
      <c r="B80" s="26" t="s">
        <v>482</v>
      </c>
      <c r="C80" s="26" t="s">
        <v>482</v>
      </c>
      <c r="D80" s="26" t="s">
        <v>482</v>
      </c>
    </row>
    <row r="81" spans="1:5">
      <c r="A81" s="26" t="s">
        <v>355</v>
      </c>
      <c r="B81" s="26" t="s">
        <v>1121</v>
      </c>
      <c r="C81" s="26" t="s">
        <v>1122</v>
      </c>
      <c r="D81" s="26" t="s">
        <v>1123</v>
      </c>
    </row>
    <row r="83" spans="1:5">
      <c r="B83" s="3" t="s">
        <v>1124</v>
      </c>
      <c r="C83" s="3" t="s">
        <v>1125</v>
      </c>
      <c r="D83" s="3" t="s">
        <v>1126</v>
      </c>
    </row>
    <row r="84" spans="1:5">
      <c r="A84" s="11" t="s">
        <v>172</v>
      </c>
      <c r="B84" s="6">
        <f>IF('Loads'!B44&lt;0,0,0-'Aggreg'!B227)</f>
        <v>0</v>
      </c>
      <c r="C84" s="9"/>
      <c r="D84" s="9"/>
      <c r="E84" s="10"/>
    </row>
    <row r="85" spans="1:5">
      <c r="A85" s="11" t="s">
        <v>173</v>
      </c>
      <c r="B85" s="6">
        <f>IF('Loads'!B45&lt;0,0,0-'Aggreg'!B228)</f>
        <v>0</v>
      </c>
      <c r="C85" s="6">
        <f>IF('Loads'!B45&lt;0,0,0-'Aggreg'!C228)</f>
        <v>0</v>
      </c>
      <c r="D85" s="9"/>
      <c r="E85" s="10"/>
    </row>
    <row r="86" spans="1:5">
      <c r="A86" s="11" t="s">
        <v>210</v>
      </c>
      <c r="B86" s="6">
        <f>IF('Loads'!B46&lt;0,0,0-'Aggreg'!B229)</f>
        <v>0</v>
      </c>
      <c r="C86" s="9"/>
      <c r="D86" s="9"/>
      <c r="E86" s="10"/>
    </row>
    <row r="87" spans="1:5">
      <c r="A87" s="11" t="s">
        <v>174</v>
      </c>
      <c r="B87" s="6">
        <f>IF('Loads'!B47&lt;0,0,0-'Aggreg'!B230)</f>
        <v>0</v>
      </c>
      <c r="C87" s="9"/>
      <c r="D87" s="9"/>
      <c r="E87" s="10"/>
    </row>
    <row r="88" spans="1:5">
      <c r="A88" s="11" t="s">
        <v>175</v>
      </c>
      <c r="B88" s="6">
        <f>IF('Loads'!B48&lt;0,0,0-'Aggreg'!B231)</f>
        <v>0</v>
      </c>
      <c r="C88" s="6">
        <f>IF('Loads'!B48&lt;0,0,0-'Aggreg'!C231)</f>
        <v>0</v>
      </c>
      <c r="D88" s="9"/>
      <c r="E88" s="10"/>
    </row>
    <row r="89" spans="1:5">
      <c r="A89" s="11" t="s">
        <v>211</v>
      </c>
      <c r="B89" s="6">
        <f>IF('Loads'!B49&lt;0,0,0-'Aggreg'!B232)</f>
        <v>0</v>
      </c>
      <c r="C89" s="9"/>
      <c r="D89" s="9"/>
      <c r="E89" s="10"/>
    </row>
    <row r="90" spans="1:5">
      <c r="A90" s="11" t="s">
        <v>176</v>
      </c>
      <c r="B90" s="6">
        <f>IF('Loads'!B50&lt;0,0,0-'Aggreg'!B233)</f>
        <v>0</v>
      </c>
      <c r="C90" s="6">
        <f>IF('Loads'!B50&lt;0,0,0-'Aggreg'!C233)</f>
        <v>0</v>
      </c>
      <c r="D90" s="9"/>
      <c r="E90" s="10"/>
    </row>
    <row r="91" spans="1:5">
      <c r="A91" s="11" t="s">
        <v>177</v>
      </c>
      <c r="B91" s="6">
        <f>IF('Loads'!B51&lt;0,0,0-'Aggreg'!B234)</f>
        <v>0</v>
      </c>
      <c r="C91" s="6">
        <f>IF('Loads'!B51&lt;0,0,0-'Aggreg'!C234)</f>
        <v>0</v>
      </c>
      <c r="D91" s="9"/>
      <c r="E91" s="10"/>
    </row>
    <row r="92" spans="1:5">
      <c r="A92" s="11" t="s">
        <v>191</v>
      </c>
      <c r="B92" s="6">
        <f>IF('Loads'!B52&lt;0,0,0-'Aggreg'!B235)</f>
        <v>0</v>
      </c>
      <c r="C92" s="6">
        <f>IF('Loads'!B52&lt;0,0,0-'Aggreg'!C235)</f>
        <v>0</v>
      </c>
      <c r="D92" s="9"/>
      <c r="E92" s="10"/>
    </row>
    <row r="93" spans="1:5">
      <c r="A93" s="11" t="s">
        <v>178</v>
      </c>
      <c r="B93" s="6">
        <f>IF('Loads'!B53&lt;0,0,0-'Aggreg'!B236)</f>
        <v>0</v>
      </c>
      <c r="C93" s="6">
        <f>IF('Loads'!B53&lt;0,0,0-'Aggreg'!C236)</f>
        <v>0</v>
      </c>
      <c r="D93" s="6">
        <f>IF('Loads'!B53&lt;0,0,0-'Aggreg'!D236)</f>
        <v>0</v>
      </c>
      <c r="E93" s="10"/>
    </row>
    <row r="94" spans="1:5">
      <c r="A94" s="11" t="s">
        <v>179</v>
      </c>
      <c r="B94" s="6">
        <f>IF('Loads'!B54&lt;0,0,0-'Aggreg'!B237)</f>
        <v>0</v>
      </c>
      <c r="C94" s="6">
        <f>IF('Loads'!B54&lt;0,0,0-'Aggreg'!C237)</f>
        <v>0</v>
      </c>
      <c r="D94" s="6">
        <f>IF('Loads'!B54&lt;0,0,0-'Aggreg'!D237)</f>
        <v>0</v>
      </c>
      <c r="E94" s="10"/>
    </row>
    <row r="95" spans="1:5">
      <c r="A95" s="11" t="s">
        <v>192</v>
      </c>
      <c r="B95" s="6">
        <f>IF('Loads'!B55&lt;0,0,0-'Aggreg'!B238)</f>
        <v>0</v>
      </c>
      <c r="C95" s="6">
        <f>IF('Loads'!B55&lt;0,0,0-'Aggreg'!C238)</f>
        <v>0</v>
      </c>
      <c r="D95" s="6">
        <f>IF('Loads'!B55&lt;0,0,0-'Aggreg'!D238)</f>
        <v>0</v>
      </c>
      <c r="E95" s="10"/>
    </row>
    <row r="96" spans="1:5">
      <c r="A96" s="11" t="s">
        <v>212</v>
      </c>
      <c r="B96" s="6">
        <f>IF('Loads'!B56&lt;0,0,0-'Aggreg'!B239)</f>
        <v>0</v>
      </c>
      <c r="C96" s="9"/>
      <c r="D96" s="9"/>
      <c r="E96" s="10"/>
    </row>
    <row r="97" spans="1:5">
      <c r="A97" s="11" t="s">
        <v>213</v>
      </c>
      <c r="B97" s="6">
        <f>IF('Loads'!B57&lt;0,0,0-'Aggreg'!B240)</f>
        <v>0</v>
      </c>
      <c r="C97" s="9"/>
      <c r="D97" s="9"/>
      <c r="E97" s="10"/>
    </row>
    <row r="98" spans="1:5">
      <c r="A98" s="11" t="s">
        <v>214</v>
      </c>
      <c r="B98" s="6">
        <f>IF('Loads'!B58&lt;0,0,0-'Aggreg'!B241)</f>
        <v>0</v>
      </c>
      <c r="C98" s="9"/>
      <c r="D98" s="9"/>
      <c r="E98" s="10"/>
    </row>
    <row r="99" spans="1:5">
      <c r="A99" s="11" t="s">
        <v>215</v>
      </c>
      <c r="B99" s="6">
        <f>IF('Loads'!B59&lt;0,0,0-'Aggreg'!B242)</f>
        <v>0</v>
      </c>
      <c r="C99" s="9"/>
      <c r="D99" s="9"/>
      <c r="E99" s="10"/>
    </row>
    <row r="100" spans="1:5">
      <c r="A100" s="11" t="s">
        <v>216</v>
      </c>
      <c r="B100" s="6">
        <f>IF('Loads'!B60&lt;0,0,0-'Aggreg'!B243)</f>
        <v>0</v>
      </c>
      <c r="C100" s="6">
        <f>IF('Loads'!B60&lt;0,0,0-'Aggreg'!C243)</f>
        <v>0</v>
      </c>
      <c r="D100" s="6">
        <f>IF('Loads'!B60&lt;0,0,0-'Aggreg'!D243)</f>
        <v>0</v>
      </c>
      <c r="E100" s="10"/>
    </row>
    <row r="101" spans="1:5">
      <c r="A101" s="11" t="s">
        <v>180</v>
      </c>
      <c r="B101" s="6">
        <f>IF('Loads'!B61&lt;0,0,0-'Aggreg'!B244)</f>
        <v>0</v>
      </c>
      <c r="C101" s="9"/>
      <c r="D101" s="9"/>
      <c r="E101" s="10"/>
    </row>
    <row r="102" spans="1:5">
      <c r="A102" s="11" t="s">
        <v>181</v>
      </c>
      <c r="B102" s="6">
        <f>IF('Loads'!B62&lt;0,0,0-'Aggreg'!B245)</f>
        <v>0</v>
      </c>
      <c r="C102" s="9"/>
      <c r="D102" s="9"/>
      <c r="E102" s="10"/>
    </row>
    <row r="103" spans="1:5">
      <c r="A103" s="11" t="s">
        <v>182</v>
      </c>
      <c r="B103" s="6">
        <f>IF('Loads'!B63&lt;0,0,0-'Aggreg'!B246)</f>
        <v>0</v>
      </c>
      <c r="C103" s="9"/>
      <c r="D103" s="9"/>
      <c r="E103" s="10"/>
    </row>
    <row r="104" spans="1:5">
      <c r="A104" s="11" t="s">
        <v>183</v>
      </c>
      <c r="B104" s="6">
        <f>IF('Loads'!B64&lt;0,0,0-'Aggreg'!B247)</f>
        <v>0</v>
      </c>
      <c r="C104" s="6">
        <f>IF('Loads'!B64&lt;0,0,0-'Aggreg'!C247)</f>
        <v>0</v>
      </c>
      <c r="D104" s="6">
        <f>IF('Loads'!B64&lt;0,0,0-'Aggreg'!D247)</f>
        <v>0</v>
      </c>
      <c r="E104" s="10"/>
    </row>
    <row r="105" spans="1:5">
      <c r="A105" s="11" t="s">
        <v>184</v>
      </c>
      <c r="B105" s="6">
        <f>IF('Loads'!B65&lt;0,0,0-'Aggreg'!B248)</f>
        <v>0</v>
      </c>
      <c r="C105" s="9"/>
      <c r="D105" s="9"/>
      <c r="E105" s="10"/>
    </row>
    <row r="106" spans="1:5">
      <c r="A106" s="11" t="s">
        <v>185</v>
      </c>
      <c r="B106" s="6">
        <f>IF('Loads'!B66&lt;0,0,0-'Aggreg'!B249)</f>
        <v>0</v>
      </c>
      <c r="C106" s="6">
        <f>IF('Loads'!B66&lt;0,0,0-'Aggreg'!C249)</f>
        <v>0</v>
      </c>
      <c r="D106" s="6">
        <f>IF('Loads'!B66&lt;0,0,0-'Aggreg'!D249)</f>
        <v>0</v>
      </c>
      <c r="E106" s="10"/>
    </row>
    <row r="107" spans="1:5">
      <c r="A107" s="11" t="s">
        <v>193</v>
      </c>
      <c r="B107" s="6">
        <f>IF('Loads'!B67&lt;0,0,0-'Aggreg'!B250)</f>
        <v>0</v>
      </c>
      <c r="C107" s="9"/>
      <c r="D107" s="9"/>
      <c r="E107" s="10"/>
    </row>
    <row r="108" spans="1:5">
      <c r="A108" s="11" t="s">
        <v>194</v>
      </c>
      <c r="B108" s="6">
        <f>IF('Loads'!B68&lt;0,0,0-'Aggreg'!B251)</f>
        <v>0</v>
      </c>
      <c r="C108" s="6">
        <f>IF('Loads'!B68&lt;0,0,0-'Aggreg'!C251)</f>
        <v>0</v>
      </c>
      <c r="D108" s="6">
        <f>IF('Loads'!B68&lt;0,0,0-'Aggreg'!D251)</f>
        <v>0</v>
      </c>
      <c r="E108" s="10"/>
    </row>
    <row r="110" spans="1:5">
      <c r="A110" s="1" t="s">
        <v>1127</v>
      </c>
    </row>
    <row r="111" spans="1:5">
      <c r="A111" s="2" t="s">
        <v>349</v>
      </c>
    </row>
    <row r="112" spans="1:5">
      <c r="A112" s="12" t="s">
        <v>991</v>
      </c>
    </row>
    <row r="113" spans="1:5">
      <c r="A113" s="12" t="s">
        <v>573</v>
      </c>
    </row>
    <row r="114" spans="1:5">
      <c r="A114" s="12" t="s">
        <v>733</v>
      </c>
    </row>
    <row r="115" spans="1:5">
      <c r="A115" s="12" t="s">
        <v>1128</v>
      </c>
    </row>
    <row r="116" spans="1:5">
      <c r="A116" s="26" t="s">
        <v>352</v>
      </c>
      <c r="B116" s="26" t="s">
        <v>482</v>
      </c>
      <c r="C116" s="26" t="s">
        <v>482</v>
      </c>
      <c r="D116" s="26" t="s">
        <v>482</v>
      </c>
    </row>
    <row r="117" spans="1:5">
      <c r="A117" s="26" t="s">
        <v>355</v>
      </c>
      <c r="B117" s="26" t="s">
        <v>1129</v>
      </c>
      <c r="C117" s="26" t="s">
        <v>1130</v>
      </c>
      <c r="D117" s="26" t="s">
        <v>1131</v>
      </c>
    </row>
    <row r="119" spans="1:5">
      <c r="B119" s="3" t="s">
        <v>1132</v>
      </c>
      <c r="C119" s="3" t="s">
        <v>1133</v>
      </c>
      <c r="D119" s="3" t="s">
        <v>1134</v>
      </c>
    </row>
    <row r="120" spans="1:5">
      <c r="A120" s="11" t="s">
        <v>172</v>
      </c>
      <c r="B120" s="6">
        <f>IF('Loads'!B44&lt;0,0,'Loads'!B282*10)</f>
        <v>0</v>
      </c>
      <c r="C120" s="6">
        <f>IF('Loads'!B44&lt;0,0,'Loads'!C282*10)</f>
        <v>0</v>
      </c>
      <c r="D120" s="6">
        <f>IF('Loads'!B44&lt;0,0,'Loads'!D282*10)</f>
        <v>0</v>
      </c>
      <c r="E120" s="10"/>
    </row>
    <row r="121" spans="1:5">
      <c r="A121" s="11" t="s">
        <v>173</v>
      </c>
      <c r="B121" s="6">
        <f>IF('Loads'!B45&lt;0,0,'Loads'!B283*10)</f>
        <v>0</v>
      </c>
      <c r="C121" s="6">
        <f>IF('Loads'!B45&lt;0,0,'Loads'!C283*10)</f>
        <v>0</v>
      </c>
      <c r="D121" s="6">
        <f>IF('Loads'!B45&lt;0,0,'Loads'!D283*10)</f>
        <v>0</v>
      </c>
      <c r="E121" s="10"/>
    </row>
    <row r="122" spans="1:5">
      <c r="A122" s="11" t="s">
        <v>210</v>
      </c>
      <c r="B122" s="6">
        <f>IF('Loads'!B46&lt;0,0,'Loads'!B284*10)</f>
        <v>0</v>
      </c>
      <c r="C122" s="6">
        <f>IF('Loads'!B46&lt;0,0,'Loads'!C284*10)</f>
        <v>0</v>
      </c>
      <c r="D122" s="6">
        <f>IF('Loads'!B46&lt;0,0,'Loads'!D284*10)</f>
        <v>0</v>
      </c>
      <c r="E122" s="10"/>
    </row>
    <row r="123" spans="1:5">
      <c r="A123" s="11" t="s">
        <v>174</v>
      </c>
      <c r="B123" s="6">
        <f>IF('Loads'!B47&lt;0,0,'Loads'!B285*10)</f>
        <v>0</v>
      </c>
      <c r="C123" s="6">
        <f>IF('Loads'!B47&lt;0,0,'Loads'!C285*10)</f>
        <v>0</v>
      </c>
      <c r="D123" s="6">
        <f>IF('Loads'!B47&lt;0,0,'Loads'!D285*10)</f>
        <v>0</v>
      </c>
      <c r="E123" s="10"/>
    </row>
    <row r="124" spans="1:5">
      <c r="A124" s="11" t="s">
        <v>175</v>
      </c>
      <c r="B124" s="6">
        <f>IF('Loads'!B48&lt;0,0,'Loads'!B286*10)</f>
        <v>0</v>
      </c>
      <c r="C124" s="6">
        <f>IF('Loads'!B48&lt;0,0,'Loads'!C286*10)</f>
        <v>0</v>
      </c>
      <c r="D124" s="6">
        <f>IF('Loads'!B48&lt;0,0,'Loads'!D286*10)</f>
        <v>0</v>
      </c>
      <c r="E124" s="10"/>
    </row>
    <row r="125" spans="1:5">
      <c r="A125" s="11" t="s">
        <v>211</v>
      </c>
      <c r="B125" s="6">
        <f>IF('Loads'!B49&lt;0,0,'Loads'!B287*10)</f>
        <v>0</v>
      </c>
      <c r="C125" s="6">
        <f>IF('Loads'!B49&lt;0,0,'Loads'!C287*10)</f>
        <v>0</v>
      </c>
      <c r="D125" s="6">
        <f>IF('Loads'!B49&lt;0,0,'Loads'!D287*10)</f>
        <v>0</v>
      </c>
      <c r="E125" s="10"/>
    </row>
    <row r="126" spans="1:5">
      <c r="A126" s="11" t="s">
        <v>176</v>
      </c>
      <c r="B126" s="6">
        <f>IF('Loads'!B50&lt;0,0,'Loads'!B288*10)</f>
        <v>0</v>
      </c>
      <c r="C126" s="6">
        <f>IF('Loads'!B50&lt;0,0,'Loads'!C288*10)</f>
        <v>0</v>
      </c>
      <c r="D126" s="6">
        <f>IF('Loads'!B50&lt;0,0,'Loads'!D288*10)</f>
        <v>0</v>
      </c>
      <c r="E126" s="10"/>
    </row>
    <row r="127" spans="1:5">
      <c r="A127" s="11" t="s">
        <v>177</v>
      </c>
      <c r="B127" s="6">
        <f>IF('Loads'!B51&lt;0,0,'Loads'!B289*10)</f>
        <v>0</v>
      </c>
      <c r="C127" s="6">
        <f>IF('Loads'!B51&lt;0,0,'Loads'!C289*10)</f>
        <v>0</v>
      </c>
      <c r="D127" s="6">
        <f>IF('Loads'!B51&lt;0,0,'Loads'!D289*10)</f>
        <v>0</v>
      </c>
      <c r="E127" s="10"/>
    </row>
    <row r="128" spans="1:5">
      <c r="A128" s="11" t="s">
        <v>191</v>
      </c>
      <c r="B128" s="6">
        <f>IF('Loads'!B52&lt;0,0,'Loads'!B290*10)</f>
        <v>0</v>
      </c>
      <c r="C128" s="6">
        <f>IF('Loads'!B52&lt;0,0,'Loads'!C290*10)</f>
        <v>0</v>
      </c>
      <c r="D128" s="6">
        <f>IF('Loads'!B52&lt;0,0,'Loads'!D290*10)</f>
        <v>0</v>
      </c>
      <c r="E128" s="10"/>
    </row>
    <row r="129" spans="1:5">
      <c r="A129" s="11" t="s">
        <v>178</v>
      </c>
      <c r="B129" s="6">
        <f>IF('Loads'!B53&lt;0,0,'Loads'!B291*10)</f>
        <v>0</v>
      </c>
      <c r="C129" s="6">
        <f>IF('Loads'!B53&lt;0,0,'Loads'!C291*10)</f>
        <v>0</v>
      </c>
      <c r="D129" s="6">
        <f>IF('Loads'!B53&lt;0,0,'Loads'!D291*10)</f>
        <v>0</v>
      </c>
      <c r="E129" s="10"/>
    </row>
    <row r="130" spans="1:5">
      <c r="A130" s="11" t="s">
        <v>179</v>
      </c>
      <c r="B130" s="6">
        <f>IF('Loads'!B54&lt;0,0,'Loads'!B292*10)</f>
        <v>0</v>
      </c>
      <c r="C130" s="6">
        <f>IF('Loads'!B54&lt;0,0,'Loads'!C292*10)</f>
        <v>0</v>
      </c>
      <c r="D130" s="6">
        <f>IF('Loads'!B54&lt;0,0,'Loads'!D292*10)</f>
        <v>0</v>
      </c>
      <c r="E130" s="10"/>
    </row>
    <row r="131" spans="1:5">
      <c r="A131" s="11" t="s">
        <v>192</v>
      </c>
      <c r="B131" s="6">
        <f>IF('Loads'!B55&lt;0,0,'Loads'!B293*10)</f>
        <v>0</v>
      </c>
      <c r="C131" s="6">
        <f>IF('Loads'!B55&lt;0,0,'Loads'!C293*10)</f>
        <v>0</v>
      </c>
      <c r="D131" s="6">
        <f>IF('Loads'!B55&lt;0,0,'Loads'!D293*10)</f>
        <v>0</v>
      </c>
      <c r="E131" s="10"/>
    </row>
    <row r="132" spans="1:5">
      <c r="A132" s="11" t="s">
        <v>212</v>
      </c>
      <c r="B132" s="6">
        <f>IF('Loads'!B56&lt;0,0,'Loads'!B294*10)</f>
        <v>0</v>
      </c>
      <c r="C132" s="6">
        <f>IF('Loads'!B56&lt;0,0,'Loads'!C294*10)</f>
        <v>0</v>
      </c>
      <c r="D132" s="6">
        <f>IF('Loads'!B56&lt;0,0,'Loads'!D294*10)</f>
        <v>0</v>
      </c>
      <c r="E132" s="10"/>
    </row>
    <row r="133" spans="1:5">
      <c r="A133" s="11" t="s">
        <v>213</v>
      </c>
      <c r="B133" s="6">
        <f>IF('Loads'!B57&lt;0,0,'Loads'!B295*10)</f>
        <v>0</v>
      </c>
      <c r="C133" s="6">
        <f>IF('Loads'!B57&lt;0,0,'Loads'!C295*10)</f>
        <v>0</v>
      </c>
      <c r="D133" s="6">
        <f>IF('Loads'!B57&lt;0,0,'Loads'!D295*10)</f>
        <v>0</v>
      </c>
      <c r="E133" s="10"/>
    </row>
    <row r="134" spans="1:5">
      <c r="A134" s="11" t="s">
        <v>214</v>
      </c>
      <c r="B134" s="6">
        <f>IF('Loads'!B58&lt;0,0,'Loads'!B296*10)</f>
        <v>0</v>
      </c>
      <c r="C134" s="6">
        <f>IF('Loads'!B58&lt;0,0,'Loads'!C296*10)</f>
        <v>0</v>
      </c>
      <c r="D134" s="6">
        <f>IF('Loads'!B58&lt;0,0,'Loads'!D296*10)</f>
        <v>0</v>
      </c>
      <c r="E134" s="10"/>
    </row>
    <row r="135" spans="1:5">
      <c r="A135" s="11" t="s">
        <v>215</v>
      </c>
      <c r="B135" s="6">
        <f>IF('Loads'!B59&lt;0,0,'Loads'!B297*10)</f>
        <v>0</v>
      </c>
      <c r="C135" s="6">
        <f>IF('Loads'!B59&lt;0,0,'Loads'!C297*10)</f>
        <v>0</v>
      </c>
      <c r="D135" s="6">
        <f>IF('Loads'!B59&lt;0,0,'Loads'!D297*10)</f>
        <v>0</v>
      </c>
      <c r="E135" s="10"/>
    </row>
    <row r="136" spans="1:5">
      <c r="A136" s="11" t="s">
        <v>216</v>
      </c>
      <c r="B136" s="6">
        <f>IF('Loads'!B60&lt;0,0,'Loads'!B298*10)</f>
        <v>0</v>
      </c>
      <c r="C136" s="6">
        <f>IF('Loads'!B60&lt;0,0,'Loads'!C298*10)</f>
        <v>0</v>
      </c>
      <c r="D136" s="6">
        <f>IF('Loads'!B60&lt;0,0,'Loads'!D298*10)</f>
        <v>0</v>
      </c>
      <c r="E136" s="10"/>
    </row>
    <row r="137" spans="1:5">
      <c r="A137" s="11" t="s">
        <v>180</v>
      </c>
      <c r="B137" s="6">
        <f>IF('Loads'!B61&lt;0,0,'Loads'!B299*10)</f>
        <v>0</v>
      </c>
      <c r="C137" s="6">
        <f>IF('Loads'!B61&lt;0,0,'Loads'!C299*10)</f>
        <v>0</v>
      </c>
      <c r="D137" s="6">
        <f>IF('Loads'!B61&lt;0,0,'Loads'!D299*10)</f>
        <v>0</v>
      </c>
      <c r="E137" s="10"/>
    </row>
    <row r="138" spans="1:5">
      <c r="A138" s="11" t="s">
        <v>181</v>
      </c>
      <c r="B138" s="6">
        <f>IF('Loads'!B62&lt;0,0,'Loads'!B300*10)</f>
        <v>0</v>
      </c>
      <c r="C138" s="6">
        <f>IF('Loads'!B62&lt;0,0,'Loads'!C300*10)</f>
        <v>0</v>
      </c>
      <c r="D138" s="6">
        <f>IF('Loads'!B62&lt;0,0,'Loads'!D300*10)</f>
        <v>0</v>
      </c>
      <c r="E138" s="10"/>
    </row>
    <row r="139" spans="1:5">
      <c r="A139" s="11" t="s">
        <v>182</v>
      </c>
      <c r="B139" s="6">
        <f>IF('Loads'!B63&lt;0,0,'Loads'!B301*10)</f>
        <v>0</v>
      </c>
      <c r="C139" s="6">
        <f>IF('Loads'!B63&lt;0,0,'Loads'!C301*10)</f>
        <v>0</v>
      </c>
      <c r="D139" s="6">
        <f>IF('Loads'!B63&lt;0,0,'Loads'!D301*10)</f>
        <v>0</v>
      </c>
      <c r="E139" s="10"/>
    </row>
    <row r="140" spans="1:5">
      <c r="A140" s="11" t="s">
        <v>183</v>
      </c>
      <c r="B140" s="6">
        <f>IF('Loads'!B64&lt;0,0,'Loads'!B302*10)</f>
        <v>0</v>
      </c>
      <c r="C140" s="6">
        <f>IF('Loads'!B64&lt;0,0,'Loads'!C302*10)</f>
        <v>0</v>
      </c>
      <c r="D140" s="6">
        <f>IF('Loads'!B64&lt;0,0,'Loads'!D302*10)</f>
        <v>0</v>
      </c>
      <c r="E140" s="10"/>
    </row>
    <row r="141" spans="1:5">
      <c r="A141" s="11" t="s">
        <v>184</v>
      </c>
      <c r="B141" s="6">
        <f>IF('Loads'!B65&lt;0,0,'Loads'!B303*10)</f>
        <v>0</v>
      </c>
      <c r="C141" s="6">
        <f>IF('Loads'!B65&lt;0,0,'Loads'!C303*10)</f>
        <v>0</v>
      </c>
      <c r="D141" s="6">
        <f>IF('Loads'!B65&lt;0,0,'Loads'!D303*10)</f>
        <v>0</v>
      </c>
      <c r="E141" s="10"/>
    </row>
    <row r="142" spans="1:5">
      <c r="A142" s="11" t="s">
        <v>185</v>
      </c>
      <c r="B142" s="6">
        <f>IF('Loads'!B66&lt;0,0,'Loads'!B304*10)</f>
        <v>0</v>
      </c>
      <c r="C142" s="6">
        <f>IF('Loads'!B66&lt;0,0,'Loads'!C304*10)</f>
        <v>0</v>
      </c>
      <c r="D142" s="6">
        <f>IF('Loads'!B66&lt;0,0,'Loads'!D304*10)</f>
        <v>0</v>
      </c>
      <c r="E142" s="10"/>
    </row>
    <row r="143" spans="1:5">
      <c r="A143" s="11" t="s">
        <v>193</v>
      </c>
      <c r="B143" s="6">
        <f>IF('Loads'!B67&lt;0,0,'Loads'!B305*10)</f>
        <v>0</v>
      </c>
      <c r="C143" s="6">
        <f>IF('Loads'!B67&lt;0,0,'Loads'!C305*10)</f>
        <v>0</v>
      </c>
      <c r="D143" s="6">
        <f>IF('Loads'!B67&lt;0,0,'Loads'!D305*10)</f>
        <v>0</v>
      </c>
      <c r="E143" s="10"/>
    </row>
    <row r="144" spans="1:5">
      <c r="A144" s="11" t="s">
        <v>194</v>
      </c>
      <c r="B144" s="6">
        <f>IF('Loads'!B68&lt;0,0,'Loads'!B306*10)</f>
        <v>0</v>
      </c>
      <c r="C144" s="6">
        <f>IF('Loads'!B68&lt;0,0,'Loads'!C306*10)</f>
        <v>0</v>
      </c>
      <c r="D144" s="6">
        <f>IF('Loads'!B68&lt;0,0,'Loads'!D306*10)</f>
        <v>0</v>
      </c>
      <c r="E144" s="10"/>
    </row>
    <row r="146" spans="1:3">
      <c r="A146" s="1" t="s">
        <v>1135</v>
      </c>
    </row>
    <row r="147" spans="1:3">
      <c r="A147" s="2" t="s">
        <v>349</v>
      </c>
    </row>
    <row r="148" spans="1:3">
      <c r="A148" s="12" t="s">
        <v>1136</v>
      </c>
    </row>
    <row r="149" spans="1:3">
      <c r="A149" s="12" t="s">
        <v>1137</v>
      </c>
    </row>
    <row r="150" spans="1:3">
      <c r="A150" s="12" t="s">
        <v>1138</v>
      </c>
    </row>
    <row r="151" spans="1:3">
      <c r="A151" s="12" t="s">
        <v>1139</v>
      </c>
    </row>
    <row r="152" spans="1:3">
      <c r="A152" s="2" t="s">
        <v>1140</v>
      </c>
    </row>
    <row r="154" spans="1:3">
      <c r="B154" s="3" t="s">
        <v>1141</v>
      </c>
    </row>
    <row r="155" spans="1:3">
      <c r="A155" s="11" t="s">
        <v>1141</v>
      </c>
      <c r="B155" s="6">
        <f>B72/SUM($B$120:$B$144,$C$120:$C$144,$D$120:$D$144)</f>
        <v>0</v>
      </c>
      <c r="C155" s="10"/>
    </row>
    <row r="157" spans="1:3">
      <c r="A157" s="1" t="s">
        <v>1142</v>
      </c>
    </row>
    <row r="158" spans="1:3">
      <c r="A158" s="2" t="s">
        <v>349</v>
      </c>
    </row>
    <row r="159" spans="1:3">
      <c r="A159" s="12" t="s">
        <v>1143</v>
      </c>
    </row>
    <row r="160" spans="1:3">
      <c r="A160" s="12" t="s">
        <v>1144</v>
      </c>
    </row>
    <row r="161" spans="1:3">
      <c r="A161" s="12" t="s">
        <v>1145</v>
      </c>
    </row>
    <row r="162" spans="1:3">
      <c r="A162" s="12" t="s">
        <v>1146</v>
      </c>
    </row>
    <row r="163" spans="1:3">
      <c r="A163" s="2" t="s">
        <v>1147</v>
      </c>
    </row>
    <row r="165" spans="1:3">
      <c r="B165" s="3" t="s">
        <v>1148</v>
      </c>
    </row>
    <row r="166" spans="1:3">
      <c r="A166" s="11" t="s">
        <v>1148</v>
      </c>
      <c r="B166" s="6">
        <f>MIN(B155,$B$84:$B$108,$C$84:$C$108,$D$84:$D$108)</f>
        <v>0</v>
      </c>
      <c r="C166" s="10"/>
    </row>
    <row r="168" spans="1:3">
      <c r="A168" s="1" t="s">
        <v>1149</v>
      </c>
    </row>
    <row r="169" spans="1:3">
      <c r="A169" s="2" t="s">
        <v>349</v>
      </c>
    </row>
    <row r="170" spans="1:3">
      <c r="A170" s="12" t="s">
        <v>1150</v>
      </c>
    </row>
    <row r="171" spans="1:3">
      <c r="A171" s="12" t="s">
        <v>1144</v>
      </c>
    </row>
    <row r="172" spans="1:3">
      <c r="A172" s="12" t="s">
        <v>1145</v>
      </c>
    </row>
    <row r="173" spans="1:3">
      <c r="A173" s="12" t="s">
        <v>1146</v>
      </c>
    </row>
    <row r="174" spans="1:3">
      <c r="A174" s="12" t="s">
        <v>1151</v>
      </c>
    </row>
    <row r="175" spans="1:3">
      <c r="A175" s="12" t="s">
        <v>1152</v>
      </c>
    </row>
    <row r="176" spans="1:3">
      <c r="A176" s="12" t="s">
        <v>1153</v>
      </c>
    </row>
    <row r="177" spans="1:14">
      <c r="A177" s="12" t="s">
        <v>1154</v>
      </c>
    </row>
    <row r="178" spans="1:14">
      <c r="A178" s="12" t="s">
        <v>1155</v>
      </c>
    </row>
    <row r="179" spans="1:14">
      <c r="A179" s="12" t="s">
        <v>1156</v>
      </c>
    </row>
    <row r="180" spans="1:14">
      <c r="A180" s="12" t="s">
        <v>1157</v>
      </c>
    </row>
    <row r="181" spans="1:14">
      <c r="A181" s="12" t="s">
        <v>1158</v>
      </c>
    </row>
    <row r="182" spans="1:14">
      <c r="A182" s="12" t="s">
        <v>1159</v>
      </c>
    </row>
    <row r="183" spans="1:14">
      <c r="A183" s="12" t="s">
        <v>1160</v>
      </c>
    </row>
    <row r="184" spans="1:14">
      <c r="A184" s="12" t="s">
        <v>1161</v>
      </c>
    </row>
    <row r="185" spans="1:14">
      <c r="A185" s="12" t="s">
        <v>1162</v>
      </c>
    </row>
    <row r="186" spans="1:14">
      <c r="A186" s="12" t="s">
        <v>1163</v>
      </c>
    </row>
    <row r="187" spans="1:14">
      <c r="A187" s="12" t="s">
        <v>1164</v>
      </c>
    </row>
    <row r="188" spans="1:14">
      <c r="A188" s="12" t="s">
        <v>1165</v>
      </c>
    </row>
    <row r="189" spans="1:14">
      <c r="A189" s="12" t="s">
        <v>1166</v>
      </c>
    </row>
    <row r="190" spans="1:14">
      <c r="A190" s="12" t="s">
        <v>1167</v>
      </c>
    </row>
    <row r="191" spans="1:14">
      <c r="A191" s="26" t="s">
        <v>352</v>
      </c>
      <c r="B191" s="26" t="s">
        <v>420</v>
      </c>
      <c r="C191" s="26" t="s">
        <v>420</v>
      </c>
      <c r="D191" s="26" t="s">
        <v>420</v>
      </c>
      <c r="E191" s="26" t="s">
        <v>420</v>
      </c>
      <c r="F191" s="26" t="s">
        <v>420</v>
      </c>
      <c r="G191" s="26" t="s">
        <v>353</v>
      </c>
      <c r="H191" s="26" t="s">
        <v>482</v>
      </c>
      <c r="I191" s="26" t="s">
        <v>420</v>
      </c>
      <c r="J191" s="26" t="s">
        <v>420</v>
      </c>
      <c r="K191" s="26" t="s">
        <v>420</v>
      </c>
      <c r="L191" s="26" t="s">
        <v>420</v>
      </c>
      <c r="M191" s="26" t="s">
        <v>420</v>
      </c>
      <c r="N191" s="26" t="s">
        <v>420</v>
      </c>
    </row>
    <row r="192" spans="1:14">
      <c r="A192" s="26" t="s">
        <v>355</v>
      </c>
      <c r="B192" s="26" t="s">
        <v>420</v>
      </c>
      <c r="C192" s="26" t="s">
        <v>420</v>
      </c>
      <c r="D192" s="26" t="s">
        <v>420</v>
      </c>
      <c r="E192" s="26" t="s">
        <v>420</v>
      </c>
      <c r="F192" s="26" t="s">
        <v>420</v>
      </c>
      <c r="G192" s="26" t="s">
        <v>356</v>
      </c>
      <c r="H192" s="26" t="s">
        <v>1168</v>
      </c>
      <c r="I192" s="26" t="s">
        <v>420</v>
      </c>
      <c r="J192" s="26" t="s">
        <v>420</v>
      </c>
      <c r="K192" s="26" t="s">
        <v>420</v>
      </c>
      <c r="L192" s="26" t="s">
        <v>420</v>
      </c>
      <c r="M192" s="26" t="s">
        <v>420</v>
      </c>
      <c r="N192" s="26" t="s">
        <v>420</v>
      </c>
    </row>
    <row r="194" spans="1:15">
      <c r="B194" s="3" t="s">
        <v>1169</v>
      </c>
      <c r="C194" s="3" t="s">
        <v>1170</v>
      </c>
      <c r="D194" s="3" t="s">
        <v>1171</v>
      </c>
      <c r="E194" s="3" t="s">
        <v>1172</v>
      </c>
      <c r="F194" s="3" t="s">
        <v>1173</v>
      </c>
      <c r="G194" s="3" t="s">
        <v>1174</v>
      </c>
      <c r="H194" s="3" t="s">
        <v>1175</v>
      </c>
      <c r="I194" s="3" t="s">
        <v>1176</v>
      </c>
      <c r="J194" s="3" t="s">
        <v>1177</v>
      </c>
      <c r="K194" s="3" t="s">
        <v>1178</v>
      </c>
      <c r="L194" s="3" t="s">
        <v>1179</v>
      </c>
      <c r="M194" s="3" t="s">
        <v>10</v>
      </c>
      <c r="N194" s="3" t="s">
        <v>1180</v>
      </c>
    </row>
    <row r="195" spans="1:15">
      <c r="A195" s="11" t="s">
        <v>1148</v>
      </c>
      <c r="B195" s="6">
        <f>B166</f>
        <v>0</v>
      </c>
      <c r="C195" s="9"/>
      <c r="D195" s="9"/>
      <c r="E195" s="9"/>
      <c r="F195" s="9"/>
      <c r="G195" s="28">
        <v>0</v>
      </c>
      <c r="H195" s="17">
        <f>F195*75+G195</f>
        <v>0</v>
      </c>
      <c r="I195" s="9"/>
      <c r="J195" s="9"/>
      <c r="K195" s="6">
        <f>B195</f>
        <v>0</v>
      </c>
      <c r="L195" s="6">
        <f>SUM(D$195:D$269)</f>
        <v>0</v>
      </c>
      <c r="M195" s="6">
        <f>SUM($E$195:$E$269)-$B$72</f>
        <v>0</v>
      </c>
      <c r="N195" s="6">
        <f>IF(M$195&gt;0,K195,IF(M$270&gt;0,"",$B$155))</f>
        <v>0</v>
      </c>
      <c r="O195" s="10"/>
    </row>
    <row r="196" spans="1:15">
      <c r="A196" s="11" t="s">
        <v>1181</v>
      </c>
      <c r="B196" s="6">
        <f>B84</f>
        <v>0</v>
      </c>
      <c r="C196" s="6">
        <f>B120</f>
        <v>0</v>
      </c>
      <c r="D196" s="6">
        <f>IF(ISERROR(B196),C196,0)</f>
        <v>0</v>
      </c>
      <c r="E196" s="6">
        <f>MAX($B$166,B196)*C196</f>
        <v>0</v>
      </c>
      <c r="F196" s="17">
        <f>RANK(B196,B$196:B$270,1)</f>
        <v>0</v>
      </c>
      <c r="G196" s="28">
        <v>1</v>
      </c>
      <c r="H196" s="17">
        <f>F196*75+G196</f>
        <v>0</v>
      </c>
      <c r="I196" s="17">
        <f>RANK(H196,H$196:H$270,1)</f>
        <v>0</v>
      </c>
      <c r="J196" s="17">
        <f>MATCH(G196,I$196:I$270,0)</f>
        <v>0</v>
      </c>
      <c r="K196" s="6">
        <f>INDEX(B$196:B$270,J196,1)</f>
        <v>0</v>
      </c>
      <c r="L196" s="6">
        <f>L195+INDEX(C$196:C$270,J196,1)</f>
        <v>0</v>
      </c>
      <c r="M196" s="6">
        <f>M195+(K196-K195)*L195</f>
        <v>0</v>
      </c>
      <c r="N196" s="6">
        <f>IF((M195&gt;0)=(M196&gt;0),"",K196-M196/L195)</f>
        <v>0</v>
      </c>
      <c r="O196" s="10"/>
    </row>
    <row r="197" spans="1:15">
      <c r="A197" s="11" t="s">
        <v>1182</v>
      </c>
      <c r="B197" s="6">
        <f>B85</f>
        <v>0</v>
      </c>
      <c r="C197" s="6">
        <f>B121</f>
        <v>0</v>
      </c>
      <c r="D197" s="6">
        <f>IF(ISERROR(B197),C197,0)</f>
        <v>0</v>
      </c>
      <c r="E197" s="6">
        <f>MAX($B$166,B197)*C197</f>
        <v>0</v>
      </c>
      <c r="F197" s="17">
        <f>RANK(B197,B$196:B$270,1)</f>
        <v>0</v>
      </c>
      <c r="G197" s="28">
        <v>2</v>
      </c>
      <c r="H197" s="17">
        <f>F197*75+G197</f>
        <v>0</v>
      </c>
      <c r="I197" s="17">
        <f>RANK(H197,H$196:H$270,1)</f>
        <v>0</v>
      </c>
      <c r="J197" s="17">
        <f>MATCH(G197,I$196:I$270,0)</f>
        <v>0</v>
      </c>
      <c r="K197" s="6">
        <f>INDEX(B$196:B$270,J197,1)</f>
        <v>0</v>
      </c>
      <c r="L197" s="6">
        <f>L196+INDEX(C$196:C$270,J197,1)</f>
        <v>0</v>
      </c>
      <c r="M197" s="6">
        <f>M196+(K197-K196)*L196</f>
        <v>0</v>
      </c>
      <c r="N197" s="6">
        <f>IF((M196&gt;0)=(M197&gt;0),"",K197-M197/L196)</f>
        <v>0</v>
      </c>
      <c r="O197" s="10"/>
    </row>
    <row r="198" spans="1:15">
      <c r="A198" s="11" t="s">
        <v>1183</v>
      </c>
      <c r="B198" s="6">
        <f>B86</f>
        <v>0</v>
      </c>
      <c r="C198" s="6">
        <f>B122</f>
        <v>0</v>
      </c>
      <c r="D198" s="6">
        <f>IF(ISERROR(B198),C198,0)</f>
        <v>0</v>
      </c>
      <c r="E198" s="6">
        <f>MAX($B$166,B198)*C198</f>
        <v>0</v>
      </c>
      <c r="F198" s="17">
        <f>RANK(B198,B$196:B$270,1)</f>
        <v>0</v>
      </c>
      <c r="G198" s="28">
        <v>3</v>
      </c>
      <c r="H198" s="17">
        <f>F198*75+G198</f>
        <v>0</v>
      </c>
      <c r="I198" s="17">
        <f>RANK(H198,H$196:H$270,1)</f>
        <v>0</v>
      </c>
      <c r="J198" s="17">
        <f>MATCH(G198,I$196:I$270,0)</f>
        <v>0</v>
      </c>
      <c r="K198" s="6">
        <f>INDEX(B$196:B$270,J198,1)</f>
        <v>0</v>
      </c>
      <c r="L198" s="6">
        <f>L197+INDEX(C$196:C$270,J198,1)</f>
        <v>0</v>
      </c>
      <c r="M198" s="6">
        <f>M197+(K198-K197)*L197</f>
        <v>0</v>
      </c>
      <c r="N198" s="6">
        <f>IF((M197&gt;0)=(M198&gt;0),"",K198-M198/L197)</f>
        <v>0</v>
      </c>
      <c r="O198" s="10"/>
    </row>
    <row r="199" spans="1:15">
      <c r="A199" s="11" t="s">
        <v>1184</v>
      </c>
      <c r="B199" s="6">
        <f>B87</f>
        <v>0</v>
      </c>
      <c r="C199" s="6">
        <f>B123</f>
        <v>0</v>
      </c>
      <c r="D199" s="6">
        <f>IF(ISERROR(B199),C199,0)</f>
        <v>0</v>
      </c>
      <c r="E199" s="6">
        <f>MAX($B$166,B199)*C199</f>
        <v>0</v>
      </c>
      <c r="F199" s="17">
        <f>RANK(B199,B$196:B$270,1)</f>
        <v>0</v>
      </c>
      <c r="G199" s="28">
        <v>4</v>
      </c>
      <c r="H199" s="17">
        <f>F199*75+G199</f>
        <v>0</v>
      </c>
      <c r="I199" s="17">
        <f>RANK(H199,H$196:H$270,1)</f>
        <v>0</v>
      </c>
      <c r="J199" s="17">
        <f>MATCH(G199,I$196:I$270,0)</f>
        <v>0</v>
      </c>
      <c r="K199" s="6">
        <f>INDEX(B$196:B$270,J199,1)</f>
        <v>0</v>
      </c>
      <c r="L199" s="6">
        <f>L198+INDEX(C$196:C$270,J199,1)</f>
        <v>0</v>
      </c>
      <c r="M199" s="6">
        <f>M198+(K199-K198)*L198</f>
        <v>0</v>
      </c>
      <c r="N199" s="6">
        <f>IF((M198&gt;0)=(M199&gt;0),"",K199-M199/L198)</f>
        <v>0</v>
      </c>
      <c r="O199" s="10"/>
    </row>
    <row r="200" spans="1:15">
      <c r="A200" s="11" t="s">
        <v>1185</v>
      </c>
      <c r="B200" s="6">
        <f>B88</f>
        <v>0</v>
      </c>
      <c r="C200" s="6">
        <f>B124</f>
        <v>0</v>
      </c>
      <c r="D200" s="6">
        <f>IF(ISERROR(B200),C200,0)</f>
        <v>0</v>
      </c>
      <c r="E200" s="6">
        <f>MAX($B$166,B200)*C200</f>
        <v>0</v>
      </c>
      <c r="F200" s="17">
        <f>RANK(B200,B$196:B$270,1)</f>
        <v>0</v>
      </c>
      <c r="G200" s="28">
        <v>5</v>
      </c>
      <c r="H200" s="17">
        <f>F200*75+G200</f>
        <v>0</v>
      </c>
      <c r="I200" s="17">
        <f>RANK(H200,H$196:H$270,1)</f>
        <v>0</v>
      </c>
      <c r="J200" s="17">
        <f>MATCH(G200,I$196:I$270,0)</f>
        <v>0</v>
      </c>
      <c r="K200" s="6">
        <f>INDEX(B$196:B$270,J200,1)</f>
        <v>0</v>
      </c>
      <c r="L200" s="6">
        <f>L199+INDEX(C$196:C$270,J200,1)</f>
        <v>0</v>
      </c>
      <c r="M200" s="6">
        <f>M199+(K200-K199)*L199</f>
        <v>0</v>
      </c>
      <c r="N200" s="6">
        <f>IF((M199&gt;0)=(M200&gt;0),"",K200-M200/L199)</f>
        <v>0</v>
      </c>
      <c r="O200" s="10"/>
    </row>
    <row r="201" spans="1:15">
      <c r="A201" s="11" t="s">
        <v>1186</v>
      </c>
      <c r="B201" s="6">
        <f>B89</f>
        <v>0</v>
      </c>
      <c r="C201" s="6">
        <f>B125</f>
        <v>0</v>
      </c>
      <c r="D201" s="6">
        <f>IF(ISERROR(B201),C201,0)</f>
        <v>0</v>
      </c>
      <c r="E201" s="6">
        <f>MAX($B$166,B201)*C201</f>
        <v>0</v>
      </c>
      <c r="F201" s="17">
        <f>RANK(B201,B$196:B$270,1)</f>
        <v>0</v>
      </c>
      <c r="G201" s="28">
        <v>6</v>
      </c>
      <c r="H201" s="17">
        <f>F201*75+G201</f>
        <v>0</v>
      </c>
      <c r="I201" s="17">
        <f>RANK(H201,H$196:H$270,1)</f>
        <v>0</v>
      </c>
      <c r="J201" s="17">
        <f>MATCH(G201,I$196:I$270,0)</f>
        <v>0</v>
      </c>
      <c r="K201" s="6">
        <f>INDEX(B$196:B$270,J201,1)</f>
        <v>0</v>
      </c>
      <c r="L201" s="6">
        <f>L200+INDEX(C$196:C$270,J201,1)</f>
        <v>0</v>
      </c>
      <c r="M201" s="6">
        <f>M200+(K201-K200)*L200</f>
        <v>0</v>
      </c>
      <c r="N201" s="6">
        <f>IF((M200&gt;0)=(M201&gt;0),"",K201-M201/L200)</f>
        <v>0</v>
      </c>
      <c r="O201" s="10"/>
    </row>
    <row r="202" spans="1:15">
      <c r="A202" s="11" t="s">
        <v>1187</v>
      </c>
      <c r="B202" s="6">
        <f>B90</f>
        <v>0</v>
      </c>
      <c r="C202" s="6">
        <f>B126</f>
        <v>0</v>
      </c>
      <c r="D202" s="6">
        <f>IF(ISERROR(B202),C202,0)</f>
        <v>0</v>
      </c>
      <c r="E202" s="6">
        <f>MAX($B$166,B202)*C202</f>
        <v>0</v>
      </c>
      <c r="F202" s="17">
        <f>RANK(B202,B$196:B$270,1)</f>
        <v>0</v>
      </c>
      <c r="G202" s="28">
        <v>7</v>
      </c>
      <c r="H202" s="17">
        <f>F202*75+G202</f>
        <v>0</v>
      </c>
      <c r="I202" s="17">
        <f>RANK(H202,H$196:H$270,1)</f>
        <v>0</v>
      </c>
      <c r="J202" s="17">
        <f>MATCH(G202,I$196:I$270,0)</f>
        <v>0</v>
      </c>
      <c r="K202" s="6">
        <f>INDEX(B$196:B$270,J202,1)</f>
        <v>0</v>
      </c>
      <c r="L202" s="6">
        <f>L201+INDEX(C$196:C$270,J202,1)</f>
        <v>0</v>
      </c>
      <c r="M202" s="6">
        <f>M201+(K202-K201)*L201</f>
        <v>0</v>
      </c>
      <c r="N202" s="6">
        <f>IF((M201&gt;0)=(M202&gt;0),"",K202-M202/L201)</f>
        <v>0</v>
      </c>
      <c r="O202" s="10"/>
    </row>
    <row r="203" spans="1:15">
      <c r="A203" s="11" t="s">
        <v>1188</v>
      </c>
      <c r="B203" s="6">
        <f>B91</f>
        <v>0</v>
      </c>
      <c r="C203" s="6">
        <f>B127</f>
        <v>0</v>
      </c>
      <c r="D203" s="6">
        <f>IF(ISERROR(B203),C203,0)</f>
        <v>0</v>
      </c>
      <c r="E203" s="6">
        <f>MAX($B$166,B203)*C203</f>
        <v>0</v>
      </c>
      <c r="F203" s="17">
        <f>RANK(B203,B$196:B$270,1)</f>
        <v>0</v>
      </c>
      <c r="G203" s="28">
        <v>8</v>
      </c>
      <c r="H203" s="17">
        <f>F203*75+G203</f>
        <v>0</v>
      </c>
      <c r="I203" s="17">
        <f>RANK(H203,H$196:H$270,1)</f>
        <v>0</v>
      </c>
      <c r="J203" s="17">
        <f>MATCH(G203,I$196:I$270,0)</f>
        <v>0</v>
      </c>
      <c r="K203" s="6">
        <f>INDEX(B$196:B$270,J203,1)</f>
        <v>0</v>
      </c>
      <c r="L203" s="6">
        <f>L202+INDEX(C$196:C$270,J203,1)</f>
        <v>0</v>
      </c>
      <c r="M203" s="6">
        <f>M202+(K203-K202)*L202</f>
        <v>0</v>
      </c>
      <c r="N203" s="6">
        <f>IF((M202&gt;0)=(M203&gt;0),"",K203-M203/L202)</f>
        <v>0</v>
      </c>
      <c r="O203" s="10"/>
    </row>
    <row r="204" spans="1:15">
      <c r="A204" s="11" t="s">
        <v>1189</v>
      </c>
      <c r="B204" s="6">
        <f>B92</f>
        <v>0</v>
      </c>
      <c r="C204" s="6">
        <f>B128</f>
        <v>0</v>
      </c>
      <c r="D204" s="6">
        <f>IF(ISERROR(B204),C204,0)</f>
        <v>0</v>
      </c>
      <c r="E204" s="6">
        <f>MAX($B$166,B204)*C204</f>
        <v>0</v>
      </c>
      <c r="F204" s="17">
        <f>RANK(B204,B$196:B$270,1)</f>
        <v>0</v>
      </c>
      <c r="G204" s="28">
        <v>9</v>
      </c>
      <c r="H204" s="17">
        <f>F204*75+G204</f>
        <v>0</v>
      </c>
      <c r="I204" s="17">
        <f>RANK(H204,H$196:H$270,1)</f>
        <v>0</v>
      </c>
      <c r="J204" s="17">
        <f>MATCH(G204,I$196:I$270,0)</f>
        <v>0</v>
      </c>
      <c r="K204" s="6">
        <f>INDEX(B$196:B$270,J204,1)</f>
        <v>0</v>
      </c>
      <c r="L204" s="6">
        <f>L203+INDEX(C$196:C$270,J204,1)</f>
        <v>0</v>
      </c>
      <c r="M204" s="6">
        <f>M203+(K204-K203)*L203</f>
        <v>0</v>
      </c>
      <c r="N204" s="6">
        <f>IF((M203&gt;0)=(M204&gt;0),"",K204-M204/L203)</f>
        <v>0</v>
      </c>
      <c r="O204" s="10"/>
    </row>
    <row r="205" spans="1:15">
      <c r="A205" s="11" t="s">
        <v>1190</v>
      </c>
      <c r="B205" s="6">
        <f>B93</f>
        <v>0</v>
      </c>
      <c r="C205" s="6">
        <f>B129</f>
        <v>0</v>
      </c>
      <c r="D205" s="6">
        <f>IF(ISERROR(B205),C205,0)</f>
        <v>0</v>
      </c>
      <c r="E205" s="6">
        <f>MAX($B$166,B205)*C205</f>
        <v>0</v>
      </c>
      <c r="F205" s="17">
        <f>RANK(B205,B$196:B$270,1)</f>
        <v>0</v>
      </c>
      <c r="G205" s="28">
        <v>10</v>
      </c>
      <c r="H205" s="17">
        <f>F205*75+G205</f>
        <v>0</v>
      </c>
      <c r="I205" s="17">
        <f>RANK(H205,H$196:H$270,1)</f>
        <v>0</v>
      </c>
      <c r="J205" s="17">
        <f>MATCH(G205,I$196:I$270,0)</f>
        <v>0</v>
      </c>
      <c r="K205" s="6">
        <f>INDEX(B$196:B$270,J205,1)</f>
        <v>0</v>
      </c>
      <c r="L205" s="6">
        <f>L204+INDEX(C$196:C$270,J205,1)</f>
        <v>0</v>
      </c>
      <c r="M205" s="6">
        <f>M204+(K205-K204)*L204</f>
        <v>0</v>
      </c>
      <c r="N205" s="6">
        <f>IF((M204&gt;0)=(M205&gt;0),"",K205-M205/L204)</f>
        <v>0</v>
      </c>
      <c r="O205" s="10"/>
    </row>
    <row r="206" spans="1:15">
      <c r="A206" s="11" t="s">
        <v>1191</v>
      </c>
      <c r="B206" s="6">
        <f>B94</f>
        <v>0</v>
      </c>
      <c r="C206" s="6">
        <f>B130</f>
        <v>0</v>
      </c>
      <c r="D206" s="6">
        <f>IF(ISERROR(B206),C206,0)</f>
        <v>0</v>
      </c>
      <c r="E206" s="6">
        <f>MAX($B$166,B206)*C206</f>
        <v>0</v>
      </c>
      <c r="F206" s="17">
        <f>RANK(B206,B$196:B$270,1)</f>
        <v>0</v>
      </c>
      <c r="G206" s="28">
        <v>11</v>
      </c>
      <c r="H206" s="17">
        <f>F206*75+G206</f>
        <v>0</v>
      </c>
      <c r="I206" s="17">
        <f>RANK(H206,H$196:H$270,1)</f>
        <v>0</v>
      </c>
      <c r="J206" s="17">
        <f>MATCH(G206,I$196:I$270,0)</f>
        <v>0</v>
      </c>
      <c r="K206" s="6">
        <f>INDEX(B$196:B$270,J206,1)</f>
        <v>0</v>
      </c>
      <c r="L206" s="6">
        <f>L205+INDEX(C$196:C$270,J206,1)</f>
        <v>0</v>
      </c>
      <c r="M206" s="6">
        <f>M205+(K206-K205)*L205</f>
        <v>0</v>
      </c>
      <c r="N206" s="6">
        <f>IF((M205&gt;0)=(M206&gt;0),"",K206-M206/L205)</f>
        <v>0</v>
      </c>
      <c r="O206" s="10"/>
    </row>
    <row r="207" spans="1:15">
      <c r="A207" s="11" t="s">
        <v>1192</v>
      </c>
      <c r="B207" s="6">
        <f>B95</f>
        <v>0</v>
      </c>
      <c r="C207" s="6">
        <f>B131</f>
        <v>0</v>
      </c>
      <c r="D207" s="6">
        <f>IF(ISERROR(B207),C207,0)</f>
        <v>0</v>
      </c>
      <c r="E207" s="6">
        <f>MAX($B$166,B207)*C207</f>
        <v>0</v>
      </c>
      <c r="F207" s="17">
        <f>RANK(B207,B$196:B$270,1)</f>
        <v>0</v>
      </c>
      <c r="G207" s="28">
        <v>12</v>
      </c>
      <c r="H207" s="17">
        <f>F207*75+G207</f>
        <v>0</v>
      </c>
      <c r="I207" s="17">
        <f>RANK(H207,H$196:H$270,1)</f>
        <v>0</v>
      </c>
      <c r="J207" s="17">
        <f>MATCH(G207,I$196:I$270,0)</f>
        <v>0</v>
      </c>
      <c r="K207" s="6">
        <f>INDEX(B$196:B$270,J207,1)</f>
        <v>0</v>
      </c>
      <c r="L207" s="6">
        <f>L206+INDEX(C$196:C$270,J207,1)</f>
        <v>0</v>
      </c>
      <c r="M207" s="6">
        <f>M206+(K207-K206)*L206</f>
        <v>0</v>
      </c>
      <c r="N207" s="6">
        <f>IF((M206&gt;0)=(M207&gt;0),"",K207-M207/L206)</f>
        <v>0</v>
      </c>
      <c r="O207" s="10"/>
    </row>
    <row r="208" spans="1:15">
      <c r="A208" s="11" t="s">
        <v>1193</v>
      </c>
      <c r="B208" s="6">
        <f>B96</f>
        <v>0</v>
      </c>
      <c r="C208" s="6">
        <f>B132</f>
        <v>0</v>
      </c>
      <c r="D208" s="6">
        <f>IF(ISERROR(B208),C208,0)</f>
        <v>0</v>
      </c>
      <c r="E208" s="6">
        <f>MAX($B$166,B208)*C208</f>
        <v>0</v>
      </c>
      <c r="F208" s="17">
        <f>RANK(B208,B$196:B$270,1)</f>
        <v>0</v>
      </c>
      <c r="G208" s="28">
        <v>13</v>
      </c>
      <c r="H208" s="17">
        <f>F208*75+G208</f>
        <v>0</v>
      </c>
      <c r="I208" s="17">
        <f>RANK(H208,H$196:H$270,1)</f>
        <v>0</v>
      </c>
      <c r="J208" s="17">
        <f>MATCH(G208,I$196:I$270,0)</f>
        <v>0</v>
      </c>
      <c r="K208" s="6">
        <f>INDEX(B$196:B$270,J208,1)</f>
        <v>0</v>
      </c>
      <c r="L208" s="6">
        <f>L207+INDEX(C$196:C$270,J208,1)</f>
        <v>0</v>
      </c>
      <c r="M208" s="6">
        <f>M207+(K208-K207)*L207</f>
        <v>0</v>
      </c>
      <c r="N208" s="6">
        <f>IF((M207&gt;0)=(M208&gt;0),"",K208-M208/L207)</f>
        <v>0</v>
      </c>
      <c r="O208" s="10"/>
    </row>
    <row r="209" spans="1:15">
      <c r="A209" s="11" t="s">
        <v>1194</v>
      </c>
      <c r="B209" s="6">
        <f>B97</f>
        <v>0</v>
      </c>
      <c r="C209" s="6">
        <f>B133</f>
        <v>0</v>
      </c>
      <c r="D209" s="6">
        <f>IF(ISERROR(B209),C209,0)</f>
        <v>0</v>
      </c>
      <c r="E209" s="6">
        <f>MAX($B$166,B209)*C209</f>
        <v>0</v>
      </c>
      <c r="F209" s="17">
        <f>RANK(B209,B$196:B$270,1)</f>
        <v>0</v>
      </c>
      <c r="G209" s="28">
        <v>14</v>
      </c>
      <c r="H209" s="17">
        <f>F209*75+G209</f>
        <v>0</v>
      </c>
      <c r="I209" s="17">
        <f>RANK(H209,H$196:H$270,1)</f>
        <v>0</v>
      </c>
      <c r="J209" s="17">
        <f>MATCH(G209,I$196:I$270,0)</f>
        <v>0</v>
      </c>
      <c r="K209" s="6">
        <f>INDEX(B$196:B$270,J209,1)</f>
        <v>0</v>
      </c>
      <c r="L209" s="6">
        <f>L208+INDEX(C$196:C$270,J209,1)</f>
        <v>0</v>
      </c>
      <c r="M209" s="6">
        <f>M208+(K209-K208)*L208</f>
        <v>0</v>
      </c>
      <c r="N209" s="6">
        <f>IF((M208&gt;0)=(M209&gt;0),"",K209-M209/L208)</f>
        <v>0</v>
      </c>
      <c r="O209" s="10"/>
    </row>
    <row r="210" spans="1:15">
      <c r="A210" s="11" t="s">
        <v>1195</v>
      </c>
      <c r="B210" s="6">
        <f>B98</f>
        <v>0</v>
      </c>
      <c r="C210" s="6">
        <f>B134</f>
        <v>0</v>
      </c>
      <c r="D210" s="6">
        <f>IF(ISERROR(B210),C210,0)</f>
        <v>0</v>
      </c>
      <c r="E210" s="6">
        <f>MAX($B$166,B210)*C210</f>
        <v>0</v>
      </c>
      <c r="F210" s="17">
        <f>RANK(B210,B$196:B$270,1)</f>
        <v>0</v>
      </c>
      <c r="G210" s="28">
        <v>15</v>
      </c>
      <c r="H210" s="17">
        <f>F210*75+G210</f>
        <v>0</v>
      </c>
      <c r="I210" s="17">
        <f>RANK(H210,H$196:H$270,1)</f>
        <v>0</v>
      </c>
      <c r="J210" s="17">
        <f>MATCH(G210,I$196:I$270,0)</f>
        <v>0</v>
      </c>
      <c r="K210" s="6">
        <f>INDEX(B$196:B$270,J210,1)</f>
        <v>0</v>
      </c>
      <c r="L210" s="6">
        <f>L209+INDEX(C$196:C$270,J210,1)</f>
        <v>0</v>
      </c>
      <c r="M210" s="6">
        <f>M209+(K210-K209)*L209</f>
        <v>0</v>
      </c>
      <c r="N210" s="6">
        <f>IF((M209&gt;0)=(M210&gt;0),"",K210-M210/L209)</f>
        <v>0</v>
      </c>
      <c r="O210" s="10"/>
    </row>
    <row r="211" spans="1:15">
      <c r="A211" s="11" t="s">
        <v>1196</v>
      </c>
      <c r="B211" s="6">
        <f>B99</f>
        <v>0</v>
      </c>
      <c r="C211" s="6">
        <f>B135</f>
        <v>0</v>
      </c>
      <c r="D211" s="6">
        <f>IF(ISERROR(B211),C211,0)</f>
        <v>0</v>
      </c>
      <c r="E211" s="6">
        <f>MAX($B$166,B211)*C211</f>
        <v>0</v>
      </c>
      <c r="F211" s="17">
        <f>RANK(B211,B$196:B$270,1)</f>
        <v>0</v>
      </c>
      <c r="G211" s="28">
        <v>16</v>
      </c>
      <c r="H211" s="17">
        <f>F211*75+G211</f>
        <v>0</v>
      </c>
      <c r="I211" s="17">
        <f>RANK(H211,H$196:H$270,1)</f>
        <v>0</v>
      </c>
      <c r="J211" s="17">
        <f>MATCH(G211,I$196:I$270,0)</f>
        <v>0</v>
      </c>
      <c r="K211" s="6">
        <f>INDEX(B$196:B$270,J211,1)</f>
        <v>0</v>
      </c>
      <c r="L211" s="6">
        <f>L210+INDEX(C$196:C$270,J211,1)</f>
        <v>0</v>
      </c>
      <c r="M211" s="6">
        <f>M210+(K211-K210)*L210</f>
        <v>0</v>
      </c>
      <c r="N211" s="6">
        <f>IF((M210&gt;0)=(M211&gt;0),"",K211-M211/L210)</f>
        <v>0</v>
      </c>
      <c r="O211" s="10"/>
    </row>
    <row r="212" spans="1:15">
      <c r="A212" s="11" t="s">
        <v>1197</v>
      </c>
      <c r="B212" s="6">
        <f>B100</f>
        <v>0</v>
      </c>
      <c r="C212" s="6">
        <f>B136</f>
        <v>0</v>
      </c>
      <c r="D212" s="6">
        <f>IF(ISERROR(B212),C212,0)</f>
        <v>0</v>
      </c>
      <c r="E212" s="6">
        <f>MAX($B$166,B212)*C212</f>
        <v>0</v>
      </c>
      <c r="F212" s="17">
        <f>RANK(B212,B$196:B$270,1)</f>
        <v>0</v>
      </c>
      <c r="G212" s="28">
        <v>17</v>
      </c>
      <c r="H212" s="17">
        <f>F212*75+G212</f>
        <v>0</v>
      </c>
      <c r="I212" s="17">
        <f>RANK(H212,H$196:H$270,1)</f>
        <v>0</v>
      </c>
      <c r="J212" s="17">
        <f>MATCH(G212,I$196:I$270,0)</f>
        <v>0</v>
      </c>
      <c r="K212" s="6">
        <f>INDEX(B$196:B$270,J212,1)</f>
        <v>0</v>
      </c>
      <c r="L212" s="6">
        <f>L211+INDEX(C$196:C$270,J212,1)</f>
        <v>0</v>
      </c>
      <c r="M212" s="6">
        <f>M211+(K212-K211)*L211</f>
        <v>0</v>
      </c>
      <c r="N212" s="6">
        <f>IF((M211&gt;0)=(M212&gt;0),"",K212-M212/L211)</f>
        <v>0</v>
      </c>
      <c r="O212" s="10"/>
    </row>
    <row r="213" spans="1:15">
      <c r="A213" s="11" t="s">
        <v>1198</v>
      </c>
      <c r="B213" s="6">
        <f>B101</f>
        <v>0</v>
      </c>
      <c r="C213" s="6">
        <f>B137</f>
        <v>0</v>
      </c>
      <c r="D213" s="6">
        <f>IF(ISERROR(B213),C213,0)</f>
        <v>0</v>
      </c>
      <c r="E213" s="6">
        <f>MAX($B$166,B213)*C213</f>
        <v>0</v>
      </c>
      <c r="F213" s="17">
        <f>RANK(B213,B$196:B$270,1)</f>
        <v>0</v>
      </c>
      <c r="G213" s="28">
        <v>18</v>
      </c>
      <c r="H213" s="17">
        <f>F213*75+G213</f>
        <v>0</v>
      </c>
      <c r="I213" s="17">
        <f>RANK(H213,H$196:H$270,1)</f>
        <v>0</v>
      </c>
      <c r="J213" s="17">
        <f>MATCH(G213,I$196:I$270,0)</f>
        <v>0</v>
      </c>
      <c r="K213" s="6">
        <f>INDEX(B$196:B$270,J213,1)</f>
        <v>0</v>
      </c>
      <c r="L213" s="6">
        <f>L212+INDEX(C$196:C$270,J213,1)</f>
        <v>0</v>
      </c>
      <c r="M213" s="6">
        <f>M212+(K213-K212)*L212</f>
        <v>0</v>
      </c>
      <c r="N213" s="6">
        <f>IF((M212&gt;0)=(M213&gt;0),"",K213-M213/L212)</f>
        <v>0</v>
      </c>
      <c r="O213" s="10"/>
    </row>
    <row r="214" spans="1:15">
      <c r="A214" s="11" t="s">
        <v>1199</v>
      </c>
      <c r="B214" s="6">
        <f>B102</f>
        <v>0</v>
      </c>
      <c r="C214" s="6">
        <f>B138</f>
        <v>0</v>
      </c>
      <c r="D214" s="6">
        <f>IF(ISERROR(B214),C214,0)</f>
        <v>0</v>
      </c>
      <c r="E214" s="6">
        <f>MAX($B$166,B214)*C214</f>
        <v>0</v>
      </c>
      <c r="F214" s="17">
        <f>RANK(B214,B$196:B$270,1)</f>
        <v>0</v>
      </c>
      <c r="G214" s="28">
        <v>19</v>
      </c>
      <c r="H214" s="17">
        <f>F214*75+G214</f>
        <v>0</v>
      </c>
      <c r="I214" s="17">
        <f>RANK(H214,H$196:H$270,1)</f>
        <v>0</v>
      </c>
      <c r="J214" s="17">
        <f>MATCH(G214,I$196:I$270,0)</f>
        <v>0</v>
      </c>
      <c r="K214" s="6">
        <f>INDEX(B$196:B$270,J214,1)</f>
        <v>0</v>
      </c>
      <c r="L214" s="6">
        <f>L213+INDEX(C$196:C$270,J214,1)</f>
        <v>0</v>
      </c>
      <c r="M214" s="6">
        <f>M213+(K214-K213)*L213</f>
        <v>0</v>
      </c>
      <c r="N214" s="6">
        <f>IF((M213&gt;0)=(M214&gt;0),"",K214-M214/L213)</f>
        <v>0</v>
      </c>
      <c r="O214" s="10"/>
    </row>
    <row r="215" spans="1:15">
      <c r="A215" s="11" t="s">
        <v>1200</v>
      </c>
      <c r="B215" s="6">
        <f>B103</f>
        <v>0</v>
      </c>
      <c r="C215" s="6">
        <f>B139</f>
        <v>0</v>
      </c>
      <c r="D215" s="6">
        <f>IF(ISERROR(B215),C215,0)</f>
        <v>0</v>
      </c>
      <c r="E215" s="6">
        <f>MAX($B$166,B215)*C215</f>
        <v>0</v>
      </c>
      <c r="F215" s="17">
        <f>RANK(B215,B$196:B$270,1)</f>
        <v>0</v>
      </c>
      <c r="G215" s="28">
        <v>20</v>
      </c>
      <c r="H215" s="17">
        <f>F215*75+G215</f>
        <v>0</v>
      </c>
      <c r="I215" s="17">
        <f>RANK(H215,H$196:H$270,1)</f>
        <v>0</v>
      </c>
      <c r="J215" s="17">
        <f>MATCH(G215,I$196:I$270,0)</f>
        <v>0</v>
      </c>
      <c r="K215" s="6">
        <f>INDEX(B$196:B$270,J215,1)</f>
        <v>0</v>
      </c>
      <c r="L215" s="6">
        <f>L214+INDEX(C$196:C$270,J215,1)</f>
        <v>0</v>
      </c>
      <c r="M215" s="6">
        <f>M214+(K215-K214)*L214</f>
        <v>0</v>
      </c>
      <c r="N215" s="6">
        <f>IF((M214&gt;0)=(M215&gt;0),"",K215-M215/L214)</f>
        <v>0</v>
      </c>
      <c r="O215" s="10"/>
    </row>
    <row r="216" spans="1:15">
      <c r="A216" s="11" t="s">
        <v>1201</v>
      </c>
      <c r="B216" s="6">
        <f>B104</f>
        <v>0</v>
      </c>
      <c r="C216" s="6">
        <f>B140</f>
        <v>0</v>
      </c>
      <c r="D216" s="6">
        <f>IF(ISERROR(B216),C216,0)</f>
        <v>0</v>
      </c>
      <c r="E216" s="6">
        <f>MAX($B$166,B216)*C216</f>
        <v>0</v>
      </c>
      <c r="F216" s="17">
        <f>RANK(B216,B$196:B$270,1)</f>
        <v>0</v>
      </c>
      <c r="G216" s="28">
        <v>21</v>
      </c>
      <c r="H216" s="17">
        <f>F216*75+G216</f>
        <v>0</v>
      </c>
      <c r="I216" s="17">
        <f>RANK(H216,H$196:H$270,1)</f>
        <v>0</v>
      </c>
      <c r="J216" s="17">
        <f>MATCH(G216,I$196:I$270,0)</f>
        <v>0</v>
      </c>
      <c r="K216" s="6">
        <f>INDEX(B$196:B$270,J216,1)</f>
        <v>0</v>
      </c>
      <c r="L216" s="6">
        <f>L215+INDEX(C$196:C$270,J216,1)</f>
        <v>0</v>
      </c>
      <c r="M216" s="6">
        <f>M215+(K216-K215)*L215</f>
        <v>0</v>
      </c>
      <c r="N216" s="6">
        <f>IF((M215&gt;0)=(M216&gt;0),"",K216-M216/L215)</f>
        <v>0</v>
      </c>
      <c r="O216" s="10"/>
    </row>
    <row r="217" spans="1:15">
      <c r="A217" s="11" t="s">
        <v>1202</v>
      </c>
      <c r="B217" s="6">
        <f>B105</f>
        <v>0</v>
      </c>
      <c r="C217" s="6">
        <f>B141</f>
        <v>0</v>
      </c>
      <c r="D217" s="6">
        <f>IF(ISERROR(B217),C217,0)</f>
        <v>0</v>
      </c>
      <c r="E217" s="6">
        <f>MAX($B$166,B217)*C217</f>
        <v>0</v>
      </c>
      <c r="F217" s="17">
        <f>RANK(B217,B$196:B$270,1)</f>
        <v>0</v>
      </c>
      <c r="G217" s="28">
        <v>22</v>
      </c>
      <c r="H217" s="17">
        <f>F217*75+G217</f>
        <v>0</v>
      </c>
      <c r="I217" s="17">
        <f>RANK(H217,H$196:H$270,1)</f>
        <v>0</v>
      </c>
      <c r="J217" s="17">
        <f>MATCH(G217,I$196:I$270,0)</f>
        <v>0</v>
      </c>
      <c r="K217" s="6">
        <f>INDEX(B$196:B$270,J217,1)</f>
        <v>0</v>
      </c>
      <c r="L217" s="6">
        <f>L216+INDEX(C$196:C$270,J217,1)</f>
        <v>0</v>
      </c>
      <c r="M217" s="6">
        <f>M216+(K217-K216)*L216</f>
        <v>0</v>
      </c>
      <c r="N217" s="6">
        <f>IF((M216&gt;0)=(M217&gt;0),"",K217-M217/L216)</f>
        <v>0</v>
      </c>
      <c r="O217" s="10"/>
    </row>
    <row r="218" spans="1:15">
      <c r="A218" s="11" t="s">
        <v>1203</v>
      </c>
      <c r="B218" s="6">
        <f>B106</f>
        <v>0</v>
      </c>
      <c r="C218" s="6">
        <f>B142</f>
        <v>0</v>
      </c>
      <c r="D218" s="6">
        <f>IF(ISERROR(B218),C218,0)</f>
        <v>0</v>
      </c>
      <c r="E218" s="6">
        <f>MAX($B$166,B218)*C218</f>
        <v>0</v>
      </c>
      <c r="F218" s="17">
        <f>RANK(B218,B$196:B$270,1)</f>
        <v>0</v>
      </c>
      <c r="G218" s="28">
        <v>23</v>
      </c>
      <c r="H218" s="17">
        <f>F218*75+G218</f>
        <v>0</v>
      </c>
      <c r="I218" s="17">
        <f>RANK(H218,H$196:H$270,1)</f>
        <v>0</v>
      </c>
      <c r="J218" s="17">
        <f>MATCH(G218,I$196:I$270,0)</f>
        <v>0</v>
      </c>
      <c r="K218" s="6">
        <f>INDEX(B$196:B$270,J218,1)</f>
        <v>0</v>
      </c>
      <c r="L218" s="6">
        <f>L217+INDEX(C$196:C$270,J218,1)</f>
        <v>0</v>
      </c>
      <c r="M218" s="6">
        <f>M217+(K218-K217)*L217</f>
        <v>0</v>
      </c>
      <c r="N218" s="6">
        <f>IF((M217&gt;0)=(M218&gt;0),"",K218-M218/L217)</f>
        <v>0</v>
      </c>
      <c r="O218" s="10"/>
    </row>
    <row r="219" spans="1:15">
      <c r="A219" s="11" t="s">
        <v>1204</v>
      </c>
      <c r="B219" s="6">
        <f>B107</f>
        <v>0</v>
      </c>
      <c r="C219" s="6">
        <f>B143</f>
        <v>0</v>
      </c>
      <c r="D219" s="6">
        <f>IF(ISERROR(B219),C219,0)</f>
        <v>0</v>
      </c>
      <c r="E219" s="6">
        <f>MAX($B$166,B219)*C219</f>
        <v>0</v>
      </c>
      <c r="F219" s="17">
        <f>RANK(B219,B$196:B$270,1)</f>
        <v>0</v>
      </c>
      <c r="G219" s="28">
        <v>24</v>
      </c>
      <c r="H219" s="17">
        <f>F219*75+G219</f>
        <v>0</v>
      </c>
      <c r="I219" s="17">
        <f>RANK(H219,H$196:H$270,1)</f>
        <v>0</v>
      </c>
      <c r="J219" s="17">
        <f>MATCH(G219,I$196:I$270,0)</f>
        <v>0</v>
      </c>
      <c r="K219" s="6">
        <f>INDEX(B$196:B$270,J219,1)</f>
        <v>0</v>
      </c>
      <c r="L219" s="6">
        <f>L218+INDEX(C$196:C$270,J219,1)</f>
        <v>0</v>
      </c>
      <c r="M219" s="6">
        <f>M218+(K219-K218)*L218</f>
        <v>0</v>
      </c>
      <c r="N219" s="6">
        <f>IF((M218&gt;0)=(M219&gt;0),"",K219-M219/L218)</f>
        <v>0</v>
      </c>
      <c r="O219" s="10"/>
    </row>
    <row r="220" spans="1:15">
      <c r="A220" s="11" t="s">
        <v>1205</v>
      </c>
      <c r="B220" s="6">
        <f>B108</f>
        <v>0</v>
      </c>
      <c r="C220" s="6">
        <f>B144</f>
        <v>0</v>
      </c>
      <c r="D220" s="6">
        <f>IF(ISERROR(B220),C220,0)</f>
        <v>0</v>
      </c>
      <c r="E220" s="6">
        <f>MAX($B$166,B220)*C220</f>
        <v>0</v>
      </c>
      <c r="F220" s="17">
        <f>RANK(B220,B$196:B$270,1)</f>
        <v>0</v>
      </c>
      <c r="G220" s="28">
        <v>25</v>
      </c>
      <c r="H220" s="17">
        <f>F220*75+G220</f>
        <v>0</v>
      </c>
      <c r="I220" s="17">
        <f>RANK(H220,H$196:H$270,1)</f>
        <v>0</v>
      </c>
      <c r="J220" s="17">
        <f>MATCH(G220,I$196:I$270,0)</f>
        <v>0</v>
      </c>
      <c r="K220" s="6">
        <f>INDEX(B$196:B$270,J220,1)</f>
        <v>0</v>
      </c>
      <c r="L220" s="6">
        <f>L219+INDEX(C$196:C$270,J220,1)</f>
        <v>0</v>
      </c>
      <c r="M220" s="6">
        <f>M219+(K220-K219)*L219</f>
        <v>0</v>
      </c>
      <c r="N220" s="6">
        <f>IF((M219&gt;0)=(M220&gt;0),"",K220-M220/L219)</f>
        <v>0</v>
      </c>
      <c r="O220" s="10"/>
    </row>
    <row r="221" spans="1:15">
      <c r="A221" s="11" t="s">
        <v>1206</v>
      </c>
      <c r="B221" s="6">
        <f>C84</f>
        <v>0</v>
      </c>
      <c r="C221" s="6">
        <f>C120</f>
        <v>0</v>
      </c>
      <c r="D221" s="6">
        <f>IF(ISERROR(B221),C221,0)</f>
        <v>0</v>
      </c>
      <c r="E221" s="6">
        <f>MAX($B$166,B221)*C221</f>
        <v>0</v>
      </c>
      <c r="F221" s="17">
        <f>RANK(B221,B$196:B$270,1)</f>
        <v>0</v>
      </c>
      <c r="G221" s="28">
        <v>26</v>
      </c>
      <c r="H221" s="17">
        <f>F221*75+G221</f>
        <v>0</v>
      </c>
      <c r="I221" s="17">
        <f>RANK(H221,H$196:H$270,1)</f>
        <v>0</v>
      </c>
      <c r="J221" s="17">
        <f>MATCH(G221,I$196:I$270,0)</f>
        <v>0</v>
      </c>
      <c r="K221" s="6">
        <f>INDEX(B$196:B$270,J221,1)</f>
        <v>0</v>
      </c>
      <c r="L221" s="6">
        <f>L220+INDEX(C$196:C$270,J221,1)</f>
        <v>0</v>
      </c>
      <c r="M221" s="6">
        <f>M220+(K221-K220)*L220</f>
        <v>0</v>
      </c>
      <c r="N221" s="6">
        <f>IF((M220&gt;0)=(M221&gt;0),"",K221-M221/L220)</f>
        <v>0</v>
      </c>
      <c r="O221" s="10"/>
    </row>
    <row r="222" spans="1:15">
      <c r="A222" s="11" t="s">
        <v>1207</v>
      </c>
      <c r="B222" s="6">
        <f>C85</f>
        <v>0</v>
      </c>
      <c r="C222" s="6">
        <f>C121</f>
        <v>0</v>
      </c>
      <c r="D222" s="6">
        <f>IF(ISERROR(B222),C222,0)</f>
        <v>0</v>
      </c>
      <c r="E222" s="6">
        <f>MAX($B$166,B222)*C222</f>
        <v>0</v>
      </c>
      <c r="F222" s="17">
        <f>RANK(B222,B$196:B$270,1)</f>
        <v>0</v>
      </c>
      <c r="G222" s="28">
        <v>27</v>
      </c>
      <c r="H222" s="17">
        <f>F222*75+G222</f>
        <v>0</v>
      </c>
      <c r="I222" s="17">
        <f>RANK(H222,H$196:H$270,1)</f>
        <v>0</v>
      </c>
      <c r="J222" s="17">
        <f>MATCH(G222,I$196:I$270,0)</f>
        <v>0</v>
      </c>
      <c r="K222" s="6">
        <f>INDEX(B$196:B$270,J222,1)</f>
        <v>0</v>
      </c>
      <c r="L222" s="6">
        <f>L221+INDEX(C$196:C$270,J222,1)</f>
        <v>0</v>
      </c>
      <c r="M222" s="6">
        <f>M221+(K222-K221)*L221</f>
        <v>0</v>
      </c>
      <c r="N222" s="6">
        <f>IF((M221&gt;0)=(M222&gt;0),"",K222-M222/L221)</f>
        <v>0</v>
      </c>
      <c r="O222" s="10"/>
    </row>
    <row r="223" spans="1:15">
      <c r="A223" s="11" t="s">
        <v>1208</v>
      </c>
      <c r="B223" s="6">
        <f>C86</f>
        <v>0</v>
      </c>
      <c r="C223" s="6">
        <f>C122</f>
        <v>0</v>
      </c>
      <c r="D223" s="6">
        <f>IF(ISERROR(B223),C223,0)</f>
        <v>0</v>
      </c>
      <c r="E223" s="6">
        <f>MAX($B$166,B223)*C223</f>
        <v>0</v>
      </c>
      <c r="F223" s="17">
        <f>RANK(B223,B$196:B$270,1)</f>
        <v>0</v>
      </c>
      <c r="G223" s="28">
        <v>28</v>
      </c>
      <c r="H223" s="17">
        <f>F223*75+G223</f>
        <v>0</v>
      </c>
      <c r="I223" s="17">
        <f>RANK(H223,H$196:H$270,1)</f>
        <v>0</v>
      </c>
      <c r="J223" s="17">
        <f>MATCH(G223,I$196:I$270,0)</f>
        <v>0</v>
      </c>
      <c r="K223" s="6">
        <f>INDEX(B$196:B$270,J223,1)</f>
        <v>0</v>
      </c>
      <c r="L223" s="6">
        <f>L222+INDEX(C$196:C$270,J223,1)</f>
        <v>0</v>
      </c>
      <c r="M223" s="6">
        <f>M222+(K223-K222)*L222</f>
        <v>0</v>
      </c>
      <c r="N223" s="6">
        <f>IF((M222&gt;0)=(M223&gt;0),"",K223-M223/L222)</f>
        <v>0</v>
      </c>
      <c r="O223" s="10"/>
    </row>
    <row r="224" spans="1:15">
      <c r="A224" s="11" t="s">
        <v>1209</v>
      </c>
      <c r="B224" s="6">
        <f>C87</f>
        <v>0</v>
      </c>
      <c r="C224" s="6">
        <f>C123</f>
        <v>0</v>
      </c>
      <c r="D224" s="6">
        <f>IF(ISERROR(B224),C224,0)</f>
        <v>0</v>
      </c>
      <c r="E224" s="6">
        <f>MAX($B$166,B224)*C224</f>
        <v>0</v>
      </c>
      <c r="F224" s="17">
        <f>RANK(B224,B$196:B$270,1)</f>
        <v>0</v>
      </c>
      <c r="G224" s="28">
        <v>29</v>
      </c>
      <c r="H224" s="17">
        <f>F224*75+G224</f>
        <v>0</v>
      </c>
      <c r="I224" s="17">
        <f>RANK(H224,H$196:H$270,1)</f>
        <v>0</v>
      </c>
      <c r="J224" s="17">
        <f>MATCH(G224,I$196:I$270,0)</f>
        <v>0</v>
      </c>
      <c r="K224" s="6">
        <f>INDEX(B$196:B$270,J224,1)</f>
        <v>0</v>
      </c>
      <c r="L224" s="6">
        <f>L223+INDEX(C$196:C$270,J224,1)</f>
        <v>0</v>
      </c>
      <c r="M224" s="6">
        <f>M223+(K224-K223)*L223</f>
        <v>0</v>
      </c>
      <c r="N224" s="6">
        <f>IF((M223&gt;0)=(M224&gt;0),"",K224-M224/L223)</f>
        <v>0</v>
      </c>
      <c r="O224" s="10"/>
    </row>
    <row r="225" spans="1:15">
      <c r="A225" s="11" t="s">
        <v>1210</v>
      </c>
      <c r="B225" s="6">
        <f>C88</f>
        <v>0</v>
      </c>
      <c r="C225" s="6">
        <f>C124</f>
        <v>0</v>
      </c>
      <c r="D225" s="6">
        <f>IF(ISERROR(B225),C225,0)</f>
        <v>0</v>
      </c>
      <c r="E225" s="6">
        <f>MAX($B$166,B225)*C225</f>
        <v>0</v>
      </c>
      <c r="F225" s="17">
        <f>RANK(B225,B$196:B$270,1)</f>
        <v>0</v>
      </c>
      <c r="G225" s="28">
        <v>30</v>
      </c>
      <c r="H225" s="17">
        <f>F225*75+G225</f>
        <v>0</v>
      </c>
      <c r="I225" s="17">
        <f>RANK(H225,H$196:H$270,1)</f>
        <v>0</v>
      </c>
      <c r="J225" s="17">
        <f>MATCH(G225,I$196:I$270,0)</f>
        <v>0</v>
      </c>
      <c r="K225" s="6">
        <f>INDEX(B$196:B$270,J225,1)</f>
        <v>0</v>
      </c>
      <c r="L225" s="6">
        <f>L224+INDEX(C$196:C$270,J225,1)</f>
        <v>0</v>
      </c>
      <c r="M225" s="6">
        <f>M224+(K225-K224)*L224</f>
        <v>0</v>
      </c>
      <c r="N225" s="6">
        <f>IF((M224&gt;0)=(M225&gt;0),"",K225-M225/L224)</f>
        <v>0</v>
      </c>
      <c r="O225" s="10"/>
    </row>
    <row r="226" spans="1:15">
      <c r="A226" s="11" t="s">
        <v>1211</v>
      </c>
      <c r="B226" s="6">
        <f>C89</f>
        <v>0</v>
      </c>
      <c r="C226" s="6">
        <f>C125</f>
        <v>0</v>
      </c>
      <c r="D226" s="6">
        <f>IF(ISERROR(B226),C226,0)</f>
        <v>0</v>
      </c>
      <c r="E226" s="6">
        <f>MAX($B$166,B226)*C226</f>
        <v>0</v>
      </c>
      <c r="F226" s="17">
        <f>RANK(B226,B$196:B$270,1)</f>
        <v>0</v>
      </c>
      <c r="G226" s="28">
        <v>31</v>
      </c>
      <c r="H226" s="17">
        <f>F226*75+G226</f>
        <v>0</v>
      </c>
      <c r="I226" s="17">
        <f>RANK(H226,H$196:H$270,1)</f>
        <v>0</v>
      </c>
      <c r="J226" s="17">
        <f>MATCH(G226,I$196:I$270,0)</f>
        <v>0</v>
      </c>
      <c r="K226" s="6">
        <f>INDEX(B$196:B$270,J226,1)</f>
        <v>0</v>
      </c>
      <c r="L226" s="6">
        <f>L225+INDEX(C$196:C$270,J226,1)</f>
        <v>0</v>
      </c>
      <c r="M226" s="6">
        <f>M225+(K226-K225)*L225</f>
        <v>0</v>
      </c>
      <c r="N226" s="6">
        <f>IF((M225&gt;0)=(M226&gt;0),"",K226-M226/L225)</f>
        <v>0</v>
      </c>
      <c r="O226" s="10"/>
    </row>
    <row r="227" spans="1:15">
      <c r="A227" s="11" t="s">
        <v>1212</v>
      </c>
      <c r="B227" s="6">
        <f>C90</f>
        <v>0</v>
      </c>
      <c r="C227" s="6">
        <f>C126</f>
        <v>0</v>
      </c>
      <c r="D227" s="6">
        <f>IF(ISERROR(B227),C227,0)</f>
        <v>0</v>
      </c>
      <c r="E227" s="6">
        <f>MAX($B$166,B227)*C227</f>
        <v>0</v>
      </c>
      <c r="F227" s="17">
        <f>RANK(B227,B$196:B$270,1)</f>
        <v>0</v>
      </c>
      <c r="G227" s="28">
        <v>32</v>
      </c>
      <c r="H227" s="17">
        <f>F227*75+G227</f>
        <v>0</v>
      </c>
      <c r="I227" s="17">
        <f>RANK(H227,H$196:H$270,1)</f>
        <v>0</v>
      </c>
      <c r="J227" s="17">
        <f>MATCH(G227,I$196:I$270,0)</f>
        <v>0</v>
      </c>
      <c r="K227" s="6">
        <f>INDEX(B$196:B$270,J227,1)</f>
        <v>0</v>
      </c>
      <c r="L227" s="6">
        <f>L226+INDEX(C$196:C$270,J227,1)</f>
        <v>0</v>
      </c>
      <c r="M227" s="6">
        <f>M226+(K227-K226)*L226</f>
        <v>0</v>
      </c>
      <c r="N227" s="6">
        <f>IF((M226&gt;0)=(M227&gt;0),"",K227-M227/L226)</f>
        <v>0</v>
      </c>
      <c r="O227" s="10"/>
    </row>
    <row r="228" spans="1:15">
      <c r="A228" s="11" t="s">
        <v>1213</v>
      </c>
      <c r="B228" s="6">
        <f>C91</f>
        <v>0</v>
      </c>
      <c r="C228" s="6">
        <f>C127</f>
        <v>0</v>
      </c>
      <c r="D228" s="6">
        <f>IF(ISERROR(B228),C228,0)</f>
        <v>0</v>
      </c>
      <c r="E228" s="6">
        <f>MAX($B$166,B228)*C228</f>
        <v>0</v>
      </c>
      <c r="F228" s="17">
        <f>RANK(B228,B$196:B$270,1)</f>
        <v>0</v>
      </c>
      <c r="G228" s="28">
        <v>33</v>
      </c>
      <c r="H228" s="17">
        <f>F228*75+G228</f>
        <v>0</v>
      </c>
      <c r="I228" s="17">
        <f>RANK(H228,H$196:H$270,1)</f>
        <v>0</v>
      </c>
      <c r="J228" s="17">
        <f>MATCH(G228,I$196:I$270,0)</f>
        <v>0</v>
      </c>
      <c r="K228" s="6">
        <f>INDEX(B$196:B$270,J228,1)</f>
        <v>0</v>
      </c>
      <c r="L228" s="6">
        <f>L227+INDEX(C$196:C$270,J228,1)</f>
        <v>0</v>
      </c>
      <c r="M228" s="6">
        <f>M227+(K228-K227)*L227</f>
        <v>0</v>
      </c>
      <c r="N228" s="6">
        <f>IF((M227&gt;0)=(M228&gt;0),"",K228-M228/L227)</f>
        <v>0</v>
      </c>
      <c r="O228" s="10"/>
    </row>
    <row r="229" spans="1:15">
      <c r="A229" s="11" t="s">
        <v>1214</v>
      </c>
      <c r="B229" s="6">
        <f>C92</f>
        <v>0</v>
      </c>
      <c r="C229" s="6">
        <f>C128</f>
        <v>0</v>
      </c>
      <c r="D229" s="6">
        <f>IF(ISERROR(B229),C229,0)</f>
        <v>0</v>
      </c>
      <c r="E229" s="6">
        <f>MAX($B$166,B229)*C229</f>
        <v>0</v>
      </c>
      <c r="F229" s="17">
        <f>RANK(B229,B$196:B$270,1)</f>
        <v>0</v>
      </c>
      <c r="G229" s="28">
        <v>34</v>
      </c>
      <c r="H229" s="17">
        <f>F229*75+G229</f>
        <v>0</v>
      </c>
      <c r="I229" s="17">
        <f>RANK(H229,H$196:H$270,1)</f>
        <v>0</v>
      </c>
      <c r="J229" s="17">
        <f>MATCH(G229,I$196:I$270,0)</f>
        <v>0</v>
      </c>
      <c r="K229" s="6">
        <f>INDEX(B$196:B$270,J229,1)</f>
        <v>0</v>
      </c>
      <c r="L229" s="6">
        <f>L228+INDEX(C$196:C$270,J229,1)</f>
        <v>0</v>
      </c>
      <c r="M229" s="6">
        <f>M228+(K229-K228)*L228</f>
        <v>0</v>
      </c>
      <c r="N229" s="6">
        <f>IF((M228&gt;0)=(M229&gt;0),"",K229-M229/L228)</f>
        <v>0</v>
      </c>
      <c r="O229" s="10"/>
    </row>
    <row r="230" spans="1:15">
      <c r="A230" s="11" t="s">
        <v>1215</v>
      </c>
      <c r="B230" s="6">
        <f>C93</f>
        <v>0</v>
      </c>
      <c r="C230" s="6">
        <f>C129</f>
        <v>0</v>
      </c>
      <c r="D230" s="6">
        <f>IF(ISERROR(B230),C230,0)</f>
        <v>0</v>
      </c>
      <c r="E230" s="6">
        <f>MAX($B$166,B230)*C230</f>
        <v>0</v>
      </c>
      <c r="F230" s="17">
        <f>RANK(B230,B$196:B$270,1)</f>
        <v>0</v>
      </c>
      <c r="G230" s="28">
        <v>35</v>
      </c>
      <c r="H230" s="17">
        <f>F230*75+G230</f>
        <v>0</v>
      </c>
      <c r="I230" s="17">
        <f>RANK(H230,H$196:H$270,1)</f>
        <v>0</v>
      </c>
      <c r="J230" s="17">
        <f>MATCH(G230,I$196:I$270,0)</f>
        <v>0</v>
      </c>
      <c r="K230" s="6">
        <f>INDEX(B$196:B$270,J230,1)</f>
        <v>0</v>
      </c>
      <c r="L230" s="6">
        <f>L229+INDEX(C$196:C$270,J230,1)</f>
        <v>0</v>
      </c>
      <c r="M230" s="6">
        <f>M229+(K230-K229)*L229</f>
        <v>0</v>
      </c>
      <c r="N230" s="6">
        <f>IF((M229&gt;0)=(M230&gt;0),"",K230-M230/L229)</f>
        <v>0</v>
      </c>
      <c r="O230" s="10"/>
    </row>
    <row r="231" spans="1:15">
      <c r="A231" s="11" t="s">
        <v>1216</v>
      </c>
      <c r="B231" s="6">
        <f>C94</f>
        <v>0</v>
      </c>
      <c r="C231" s="6">
        <f>C130</f>
        <v>0</v>
      </c>
      <c r="D231" s="6">
        <f>IF(ISERROR(B231),C231,0)</f>
        <v>0</v>
      </c>
      <c r="E231" s="6">
        <f>MAX($B$166,B231)*C231</f>
        <v>0</v>
      </c>
      <c r="F231" s="17">
        <f>RANK(B231,B$196:B$270,1)</f>
        <v>0</v>
      </c>
      <c r="G231" s="28">
        <v>36</v>
      </c>
      <c r="H231" s="17">
        <f>F231*75+G231</f>
        <v>0</v>
      </c>
      <c r="I231" s="17">
        <f>RANK(H231,H$196:H$270,1)</f>
        <v>0</v>
      </c>
      <c r="J231" s="17">
        <f>MATCH(G231,I$196:I$270,0)</f>
        <v>0</v>
      </c>
      <c r="K231" s="6">
        <f>INDEX(B$196:B$270,J231,1)</f>
        <v>0</v>
      </c>
      <c r="L231" s="6">
        <f>L230+INDEX(C$196:C$270,J231,1)</f>
        <v>0</v>
      </c>
      <c r="M231" s="6">
        <f>M230+(K231-K230)*L230</f>
        <v>0</v>
      </c>
      <c r="N231" s="6">
        <f>IF((M230&gt;0)=(M231&gt;0),"",K231-M231/L230)</f>
        <v>0</v>
      </c>
      <c r="O231" s="10"/>
    </row>
    <row r="232" spans="1:15">
      <c r="A232" s="11" t="s">
        <v>1217</v>
      </c>
      <c r="B232" s="6">
        <f>C95</f>
        <v>0</v>
      </c>
      <c r="C232" s="6">
        <f>C131</f>
        <v>0</v>
      </c>
      <c r="D232" s="6">
        <f>IF(ISERROR(B232),C232,0)</f>
        <v>0</v>
      </c>
      <c r="E232" s="6">
        <f>MAX($B$166,B232)*C232</f>
        <v>0</v>
      </c>
      <c r="F232" s="17">
        <f>RANK(B232,B$196:B$270,1)</f>
        <v>0</v>
      </c>
      <c r="G232" s="28">
        <v>37</v>
      </c>
      <c r="H232" s="17">
        <f>F232*75+G232</f>
        <v>0</v>
      </c>
      <c r="I232" s="17">
        <f>RANK(H232,H$196:H$270,1)</f>
        <v>0</v>
      </c>
      <c r="J232" s="17">
        <f>MATCH(G232,I$196:I$270,0)</f>
        <v>0</v>
      </c>
      <c r="K232" s="6">
        <f>INDEX(B$196:B$270,J232,1)</f>
        <v>0</v>
      </c>
      <c r="L232" s="6">
        <f>L231+INDEX(C$196:C$270,J232,1)</f>
        <v>0</v>
      </c>
      <c r="M232" s="6">
        <f>M231+(K232-K231)*L231</f>
        <v>0</v>
      </c>
      <c r="N232" s="6">
        <f>IF((M231&gt;0)=(M232&gt;0),"",K232-M232/L231)</f>
        <v>0</v>
      </c>
      <c r="O232" s="10"/>
    </row>
    <row r="233" spans="1:15">
      <c r="A233" s="11" t="s">
        <v>1218</v>
      </c>
      <c r="B233" s="6">
        <f>C96</f>
        <v>0</v>
      </c>
      <c r="C233" s="6">
        <f>C132</f>
        <v>0</v>
      </c>
      <c r="D233" s="6">
        <f>IF(ISERROR(B233),C233,0)</f>
        <v>0</v>
      </c>
      <c r="E233" s="6">
        <f>MAX($B$166,B233)*C233</f>
        <v>0</v>
      </c>
      <c r="F233" s="17">
        <f>RANK(B233,B$196:B$270,1)</f>
        <v>0</v>
      </c>
      <c r="G233" s="28">
        <v>38</v>
      </c>
      <c r="H233" s="17">
        <f>F233*75+G233</f>
        <v>0</v>
      </c>
      <c r="I233" s="17">
        <f>RANK(H233,H$196:H$270,1)</f>
        <v>0</v>
      </c>
      <c r="J233" s="17">
        <f>MATCH(G233,I$196:I$270,0)</f>
        <v>0</v>
      </c>
      <c r="K233" s="6">
        <f>INDEX(B$196:B$270,J233,1)</f>
        <v>0</v>
      </c>
      <c r="L233" s="6">
        <f>L232+INDEX(C$196:C$270,J233,1)</f>
        <v>0</v>
      </c>
      <c r="M233" s="6">
        <f>M232+(K233-K232)*L232</f>
        <v>0</v>
      </c>
      <c r="N233" s="6">
        <f>IF((M232&gt;0)=(M233&gt;0),"",K233-M233/L232)</f>
        <v>0</v>
      </c>
      <c r="O233" s="10"/>
    </row>
    <row r="234" spans="1:15">
      <c r="A234" s="11" t="s">
        <v>1219</v>
      </c>
      <c r="B234" s="6">
        <f>C97</f>
        <v>0</v>
      </c>
      <c r="C234" s="6">
        <f>C133</f>
        <v>0</v>
      </c>
      <c r="D234" s="6">
        <f>IF(ISERROR(B234),C234,0)</f>
        <v>0</v>
      </c>
      <c r="E234" s="6">
        <f>MAX($B$166,B234)*C234</f>
        <v>0</v>
      </c>
      <c r="F234" s="17">
        <f>RANK(B234,B$196:B$270,1)</f>
        <v>0</v>
      </c>
      <c r="G234" s="28">
        <v>39</v>
      </c>
      <c r="H234" s="17">
        <f>F234*75+G234</f>
        <v>0</v>
      </c>
      <c r="I234" s="17">
        <f>RANK(H234,H$196:H$270,1)</f>
        <v>0</v>
      </c>
      <c r="J234" s="17">
        <f>MATCH(G234,I$196:I$270,0)</f>
        <v>0</v>
      </c>
      <c r="K234" s="6">
        <f>INDEX(B$196:B$270,J234,1)</f>
        <v>0</v>
      </c>
      <c r="L234" s="6">
        <f>L233+INDEX(C$196:C$270,J234,1)</f>
        <v>0</v>
      </c>
      <c r="M234" s="6">
        <f>M233+(K234-K233)*L233</f>
        <v>0</v>
      </c>
      <c r="N234" s="6">
        <f>IF((M233&gt;0)=(M234&gt;0),"",K234-M234/L233)</f>
        <v>0</v>
      </c>
      <c r="O234" s="10"/>
    </row>
    <row r="235" spans="1:15">
      <c r="A235" s="11" t="s">
        <v>1220</v>
      </c>
      <c r="B235" s="6">
        <f>C98</f>
        <v>0</v>
      </c>
      <c r="C235" s="6">
        <f>C134</f>
        <v>0</v>
      </c>
      <c r="D235" s="6">
        <f>IF(ISERROR(B235),C235,0)</f>
        <v>0</v>
      </c>
      <c r="E235" s="6">
        <f>MAX($B$166,B235)*C235</f>
        <v>0</v>
      </c>
      <c r="F235" s="17">
        <f>RANK(B235,B$196:B$270,1)</f>
        <v>0</v>
      </c>
      <c r="G235" s="28">
        <v>40</v>
      </c>
      <c r="H235" s="17">
        <f>F235*75+G235</f>
        <v>0</v>
      </c>
      <c r="I235" s="17">
        <f>RANK(H235,H$196:H$270,1)</f>
        <v>0</v>
      </c>
      <c r="J235" s="17">
        <f>MATCH(G235,I$196:I$270,0)</f>
        <v>0</v>
      </c>
      <c r="K235" s="6">
        <f>INDEX(B$196:B$270,J235,1)</f>
        <v>0</v>
      </c>
      <c r="L235" s="6">
        <f>L234+INDEX(C$196:C$270,J235,1)</f>
        <v>0</v>
      </c>
      <c r="M235" s="6">
        <f>M234+(K235-K234)*L234</f>
        <v>0</v>
      </c>
      <c r="N235" s="6">
        <f>IF((M234&gt;0)=(M235&gt;0),"",K235-M235/L234)</f>
        <v>0</v>
      </c>
      <c r="O235" s="10"/>
    </row>
    <row r="236" spans="1:15">
      <c r="A236" s="11" t="s">
        <v>1221</v>
      </c>
      <c r="B236" s="6">
        <f>C99</f>
        <v>0</v>
      </c>
      <c r="C236" s="6">
        <f>C135</f>
        <v>0</v>
      </c>
      <c r="D236" s="6">
        <f>IF(ISERROR(B236),C236,0)</f>
        <v>0</v>
      </c>
      <c r="E236" s="6">
        <f>MAX($B$166,B236)*C236</f>
        <v>0</v>
      </c>
      <c r="F236" s="17">
        <f>RANK(B236,B$196:B$270,1)</f>
        <v>0</v>
      </c>
      <c r="G236" s="28">
        <v>41</v>
      </c>
      <c r="H236" s="17">
        <f>F236*75+G236</f>
        <v>0</v>
      </c>
      <c r="I236" s="17">
        <f>RANK(H236,H$196:H$270,1)</f>
        <v>0</v>
      </c>
      <c r="J236" s="17">
        <f>MATCH(G236,I$196:I$270,0)</f>
        <v>0</v>
      </c>
      <c r="K236" s="6">
        <f>INDEX(B$196:B$270,J236,1)</f>
        <v>0</v>
      </c>
      <c r="L236" s="6">
        <f>L235+INDEX(C$196:C$270,J236,1)</f>
        <v>0</v>
      </c>
      <c r="M236" s="6">
        <f>M235+(K236-K235)*L235</f>
        <v>0</v>
      </c>
      <c r="N236" s="6">
        <f>IF((M235&gt;0)=(M236&gt;0),"",K236-M236/L235)</f>
        <v>0</v>
      </c>
      <c r="O236" s="10"/>
    </row>
    <row r="237" spans="1:15">
      <c r="A237" s="11" t="s">
        <v>1222</v>
      </c>
      <c r="B237" s="6">
        <f>C100</f>
        <v>0</v>
      </c>
      <c r="C237" s="6">
        <f>C136</f>
        <v>0</v>
      </c>
      <c r="D237" s="6">
        <f>IF(ISERROR(B237),C237,0)</f>
        <v>0</v>
      </c>
      <c r="E237" s="6">
        <f>MAX($B$166,B237)*C237</f>
        <v>0</v>
      </c>
      <c r="F237" s="17">
        <f>RANK(B237,B$196:B$270,1)</f>
        <v>0</v>
      </c>
      <c r="G237" s="28">
        <v>42</v>
      </c>
      <c r="H237" s="17">
        <f>F237*75+G237</f>
        <v>0</v>
      </c>
      <c r="I237" s="17">
        <f>RANK(H237,H$196:H$270,1)</f>
        <v>0</v>
      </c>
      <c r="J237" s="17">
        <f>MATCH(G237,I$196:I$270,0)</f>
        <v>0</v>
      </c>
      <c r="K237" s="6">
        <f>INDEX(B$196:B$270,J237,1)</f>
        <v>0</v>
      </c>
      <c r="L237" s="6">
        <f>L236+INDEX(C$196:C$270,J237,1)</f>
        <v>0</v>
      </c>
      <c r="M237" s="6">
        <f>M236+(K237-K236)*L236</f>
        <v>0</v>
      </c>
      <c r="N237" s="6">
        <f>IF((M236&gt;0)=(M237&gt;0),"",K237-M237/L236)</f>
        <v>0</v>
      </c>
      <c r="O237" s="10"/>
    </row>
    <row r="238" spans="1:15">
      <c r="A238" s="11" t="s">
        <v>1223</v>
      </c>
      <c r="B238" s="6">
        <f>C101</f>
        <v>0</v>
      </c>
      <c r="C238" s="6">
        <f>C137</f>
        <v>0</v>
      </c>
      <c r="D238" s="6">
        <f>IF(ISERROR(B238),C238,0)</f>
        <v>0</v>
      </c>
      <c r="E238" s="6">
        <f>MAX($B$166,B238)*C238</f>
        <v>0</v>
      </c>
      <c r="F238" s="17">
        <f>RANK(B238,B$196:B$270,1)</f>
        <v>0</v>
      </c>
      <c r="G238" s="28">
        <v>43</v>
      </c>
      <c r="H238" s="17">
        <f>F238*75+G238</f>
        <v>0</v>
      </c>
      <c r="I238" s="17">
        <f>RANK(H238,H$196:H$270,1)</f>
        <v>0</v>
      </c>
      <c r="J238" s="17">
        <f>MATCH(G238,I$196:I$270,0)</f>
        <v>0</v>
      </c>
      <c r="K238" s="6">
        <f>INDEX(B$196:B$270,J238,1)</f>
        <v>0</v>
      </c>
      <c r="L238" s="6">
        <f>L237+INDEX(C$196:C$270,J238,1)</f>
        <v>0</v>
      </c>
      <c r="M238" s="6">
        <f>M237+(K238-K237)*L237</f>
        <v>0</v>
      </c>
      <c r="N238" s="6">
        <f>IF((M237&gt;0)=(M238&gt;0),"",K238-M238/L237)</f>
        <v>0</v>
      </c>
      <c r="O238" s="10"/>
    </row>
    <row r="239" spans="1:15">
      <c r="A239" s="11" t="s">
        <v>1224</v>
      </c>
      <c r="B239" s="6">
        <f>C102</f>
        <v>0</v>
      </c>
      <c r="C239" s="6">
        <f>C138</f>
        <v>0</v>
      </c>
      <c r="D239" s="6">
        <f>IF(ISERROR(B239),C239,0)</f>
        <v>0</v>
      </c>
      <c r="E239" s="6">
        <f>MAX($B$166,B239)*C239</f>
        <v>0</v>
      </c>
      <c r="F239" s="17">
        <f>RANK(B239,B$196:B$270,1)</f>
        <v>0</v>
      </c>
      <c r="G239" s="28">
        <v>44</v>
      </c>
      <c r="H239" s="17">
        <f>F239*75+G239</f>
        <v>0</v>
      </c>
      <c r="I239" s="17">
        <f>RANK(H239,H$196:H$270,1)</f>
        <v>0</v>
      </c>
      <c r="J239" s="17">
        <f>MATCH(G239,I$196:I$270,0)</f>
        <v>0</v>
      </c>
      <c r="K239" s="6">
        <f>INDEX(B$196:B$270,J239,1)</f>
        <v>0</v>
      </c>
      <c r="L239" s="6">
        <f>L238+INDEX(C$196:C$270,J239,1)</f>
        <v>0</v>
      </c>
      <c r="M239" s="6">
        <f>M238+(K239-K238)*L238</f>
        <v>0</v>
      </c>
      <c r="N239" s="6">
        <f>IF((M238&gt;0)=(M239&gt;0),"",K239-M239/L238)</f>
        <v>0</v>
      </c>
      <c r="O239" s="10"/>
    </row>
    <row r="240" spans="1:15">
      <c r="A240" s="11" t="s">
        <v>1225</v>
      </c>
      <c r="B240" s="6">
        <f>C103</f>
        <v>0</v>
      </c>
      <c r="C240" s="6">
        <f>C139</f>
        <v>0</v>
      </c>
      <c r="D240" s="6">
        <f>IF(ISERROR(B240),C240,0)</f>
        <v>0</v>
      </c>
      <c r="E240" s="6">
        <f>MAX($B$166,B240)*C240</f>
        <v>0</v>
      </c>
      <c r="F240" s="17">
        <f>RANK(B240,B$196:B$270,1)</f>
        <v>0</v>
      </c>
      <c r="G240" s="28">
        <v>45</v>
      </c>
      <c r="H240" s="17">
        <f>F240*75+G240</f>
        <v>0</v>
      </c>
      <c r="I240" s="17">
        <f>RANK(H240,H$196:H$270,1)</f>
        <v>0</v>
      </c>
      <c r="J240" s="17">
        <f>MATCH(G240,I$196:I$270,0)</f>
        <v>0</v>
      </c>
      <c r="K240" s="6">
        <f>INDEX(B$196:B$270,J240,1)</f>
        <v>0</v>
      </c>
      <c r="L240" s="6">
        <f>L239+INDEX(C$196:C$270,J240,1)</f>
        <v>0</v>
      </c>
      <c r="M240" s="6">
        <f>M239+(K240-K239)*L239</f>
        <v>0</v>
      </c>
      <c r="N240" s="6">
        <f>IF((M239&gt;0)=(M240&gt;0),"",K240-M240/L239)</f>
        <v>0</v>
      </c>
      <c r="O240" s="10"/>
    </row>
    <row r="241" spans="1:15">
      <c r="A241" s="11" t="s">
        <v>1226</v>
      </c>
      <c r="B241" s="6">
        <f>C104</f>
        <v>0</v>
      </c>
      <c r="C241" s="6">
        <f>C140</f>
        <v>0</v>
      </c>
      <c r="D241" s="6">
        <f>IF(ISERROR(B241),C241,0)</f>
        <v>0</v>
      </c>
      <c r="E241" s="6">
        <f>MAX($B$166,B241)*C241</f>
        <v>0</v>
      </c>
      <c r="F241" s="17">
        <f>RANK(B241,B$196:B$270,1)</f>
        <v>0</v>
      </c>
      <c r="G241" s="28">
        <v>46</v>
      </c>
      <c r="H241" s="17">
        <f>F241*75+G241</f>
        <v>0</v>
      </c>
      <c r="I241" s="17">
        <f>RANK(H241,H$196:H$270,1)</f>
        <v>0</v>
      </c>
      <c r="J241" s="17">
        <f>MATCH(G241,I$196:I$270,0)</f>
        <v>0</v>
      </c>
      <c r="K241" s="6">
        <f>INDEX(B$196:B$270,J241,1)</f>
        <v>0</v>
      </c>
      <c r="L241" s="6">
        <f>L240+INDEX(C$196:C$270,J241,1)</f>
        <v>0</v>
      </c>
      <c r="M241" s="6">
        <f>M240+(K241-K240)*L240</f>
        <v>0</v>
      </c>
      <c r="N241" s="6">
        <f>IF((M240&gt;0)=(M241&gt;0),"",K241-M241/L240)</f>
        <v>0</v>
      </c>
      <c r="O241" s="10"/>
    </row>
    <row r="242" spans="1:15">
      <c r="A242" s="11" t="s">
        <v>1227</v>
      </c>
      <c r="B242" s="6">
        <f>C105</f>
        <v>0</v>
      </c>
      <c r="C242" s="6">
        <f>C141</f>
        <v>0</v>
      </c>
      <c r="D242" s="6">
        <f>IF(ISERROR(B242),C242,0)</f>
        <v>0</v>
      </c>
      <c r="E242" s="6">
        <f>MAX($B$166,B242)*C242</f>
        <v>0</v>
      </c>
      <c r="F242" s="17">
        <f>RANK(B242,B$196:B$270,1)</f>
        <v>0</v>
      </c>
      <c r="G242" s="28">
        <v>47</v>
      </c>
      <c r="H242" s="17">
        <f>F242*75+G242</f>
        <v>0</v>
      </c>
      <c r="I242" s="17">
        <f>RANK(H242,H$196:H$270,1)</f>
        <v>0</v>
      </c>
      <c r="J242" s="17">
        <f>MATCH(G242,I$196:I$270,0)</f>
        <v>0</v>
      </c>
      <c r="K242" s="6">
        <f>INDEX(B$196:B$270,J242,1)</f>
        <v>0</v>
      </c>
      <c r="L242" s="6">
        <f>L241+INDEX(C$196:C$270,J242,1)</f>
        <v>0</v>
      </c>
      <c r="M242" s="6">
        <f>M241+(K242-K241)*L241</f>
        <v>0</v>
      </c>
      <c r="N242" s="6">
        <f>IF((M241&gt;0)=(M242&gt;0),"",K242-M242/L241)</f>
        <v>0</v>
      </c>
      <c r="O242" s="10"/>
    </row>
    <row r="243" spans="1:15">
      <c r="A243" s="11" t="s">
        <v>1228</v>
      </c>
      <c r="B243" s="6">
        <f>C106</f>
        <v>0</v>
      </c>
      <c r="C243" s="6">
        <f>C142</f>
        <v>0</v>
      </c>
      <c r="D243" s="6">
        <f>IF(ISERROR(B243),C243,0)</f>
        <v>0</v>
      </c>
      <c r="E243" s="6">
        <f>MAX($B$166,B243)*C243</f>
        <v>0</v>
      </c>
      <c r="F243" s="17">
        <f>RANK(B243,B$196:B$270,1)</f>
        <v>0</v>
      </c>
      <c r="G243" s="28">
        <v>48</v>
      </c>
      <c r="H243" s="17">
        <f>F243*75+G243</f>
        <v>0</v>
      </c>
      <c r="I243" s="17">
        <f>RANK(H243,H$196:H$270,1)</f>
        <v>0</v>
      </c>
      <c r="J243" s="17">
        <f>MATCH(G243,I$196:I$270,0)</f>
        <v>0</v>
      </c>
      <c r="K243" s="6">
        <f>INDEX(B$196:B$270,J243,1)</f>
        <v>0</v>
      </c>
      <c r="L243" s="6">
        <f>L242+INDEX(C$196:C$270,J243,1)</f>
        <v>0</v>
      </c>
      <c r="M243" s="6">
        <f>M242+(K243-K242)*L242</f>
        <v>0</v>
      </c>
      <c r="N243" s="6">
        <f>IF((M242&gt;0)=(M243&gt;0),"",K243-M243/L242)</f>
        <v>0</v>
      </c>
      <c r="O243" s="10"/>
    </row>
    <row r="244" spans="1:15">
      <c r="A244" s="11" t="s">
        <v>1229</v>
      </c>
      <c r="B244" s="6">
        <f>C107</f>
        <v>0</v>
      </c>
      <c r="C244" s="6">
        <f>C143</f>
        <v>0</v>
      </c>
      <c r="D244" s="6">
        <f>IF(ISERROR(B244),C244,0)</f>
        <v>0</v>
      </c>
      <c r="E244" s="6">
        <f>MAX($B$166,B244)*C244</f>
        <v>0</v>
      </c>
      <c r="F244" s="17">
        <f>RANK(B244,B$196:B$270,1)</f>
        <v>0</v>
      </c>
      <c r="G244" s="28">
        <v>49</v>
      </c>
      <c r="H244" s="17">
        <f>F244*75+G244</f>
        <v>0</v>
      </c>
      <c r="I244" s="17">
        <f>RANK(H244,H$196:H$270,1)</f>
        <v>0</v>
      </c>
      <c r="J244" s="17">
        <f>MATCH(G244,I$196:I$270,0)</f>
        <v>0</v>
      </c>
      <c r="K244" s="6">
        <f>INDEX(B$196:B$270,J244,1)</f>
        <v>0</v>
      </c>
      <c r="L244" s="6">
        <f>L243+INDEX(C$196:C$270,J244,1)</f>
        <v>0</v>
      </c>
      <c r="M244" s="6">
        <f>M243+(K244-K243)*L243</f>
        <v>0</v>
      </c>
      <c r="N244" s="6">
        <f>IF((M243&gt;0)=(M244&gt;0),"",K244-M244/L243)</f>
        <v>0</v>
      </c>
      <c r="O244" s="10"/>
    </row>
    <row r="245" spans="1:15">
      <c r="A245" s="11" t="s">
        <v>1230</v>
      </c>
      <c r="B245" s="6">
        <f>C108</f>
        <v>0</v>
      </c>
      <c r="C245" s="6">
        <f>C144</f>
        <v>0</v>
      </c>
      <c r="D245" s="6">
        <f>IF(ISERROR(B245),C245,0)</f>
        <v>0</v>
      </c>
      <c r="E245" s="6">
        <f>MAX($B$166,B245)*C245</f>
        <v>0</v>
      </c>
      <c r="F245" s="17">
        <f>RANK(B245,B$196:B$270,1)</f>
        <v>0</v>
      </c>
      <c r="G245" s="28">
        <v>50</v>
      </c>
      <c r="H245" s="17">
        <f>F245*75+G245</f>
        <v>0</v>
      </c>
      <c r="I245" s="17">
        <f>RANK(H245,H$196:H$270,1)</f>
        <v>0</v>
      </c>
      <c r="J245" s="17">
        <f>MATCH(G245,I$196:I$270,0)</f>
        <v>0</v>
      </c>
      <c r="K245" s="6">
        <f>INDEX(B$196:B$270,J245,1)</f>
        <v>0</v>
      </c>
      <c r="L245" s="6">
        <f>L244+INDEX(C$196:C$270,J245,1)</f>
        <v>0</v>
      </c>
      <c r="M245" s="6">
        <f>M244+(K245-K244)*L244</f>
        <v>0</v>
      </c>
      <c r="N245" s="6">
        <f>IF((M244&gt;0)=(M245&gt;0),"",K245-M245/L244)</f>
        <v>0</v>
      </c>
      <c r="O245" s="10"/>
    </row>
    <row r="246" spans="1:15">
      <c r="A246" s="11" t="s">
        <v>1231</v>
      </c>
      <c r="B246" s="6">
        <f>D84</f>
        <v>0</v>
      </c>
      <c r="C246" s="6">
        <f>D120</f>
        <v>0</v>
      </c>
      <c r="D246" s="6">
        <f>IF(ISERROR(B246),C246,0)</f>
        <v>0</v>
      </c>
      <c r="E246" s="6">
        <f>MAX($B$166,B246)*C246</f>
        <v>0</v>
      </c>
      <c r="F246" s="17">
        <f>RANK(B246,B$196:B$270,1)</f>
        <v>0</v>
      </c>
      <c r="G246" s="28">
        <v>51</v>
      </c>
      <c r="H246" s="17">
        <f>F246*75+G246</f>
        <v>0</v>
      </c>
      <c r="I246" s="17">
        <f>RANK(H246,H$196:H$270,1)</f>
        <v>0</v>
      </c>
      <c r="J246" s="17">
        <f>MATCH(G246,I$196:I$270,0)</f>
        <v>0</v>
      </c>
      <c r="K246" s="6">
        <f>INDEX(B$196:B$270,J246,1)</f>
        <v>0</v>
      </c>
      <c r="L246" s="6">
        <f>L245+INDEX(C$196:C$270,J246,1)</f>
        <v>0</v>
      </c>
      <c r="M246" s="6">
        <f>M245+(K246-K245)*L245</f>
        <v>0</v>
      </c>
      <c r="N246" s="6">
        <f>IF((M245&gt;0)=(M246&gt;0),"",K246-M246/L245)</f>
        <v>0</v>
      </c>
      <c r="O246" s="10"/>
    </row>
    <row r="247" spans="1:15">
      <c r="A247" s="11" t="s">
        <v>1232</v>
      </c>
      <c r="B247" s="6">
        <f>D85</f>
        <v>0</v>
      </c>
      <c r="C247" s="6">
        <f>D121</f>
        <v>0</v>
      </c>
      <c r="D247" s="6">
        <f>IF(ISERROR(B247),C247,0)</f>
        <v>0</v>
      </c>
      <c r="E247" s="6">
        <f>MAX($B$166,B247)*C247</f>
        <v>0</v>
      </c>
      <c r="F247" s="17">
        <f>RANK(B247,B$196:B$270,1)</f>
        <v>0</v>
      </c>
      <c r="G247" s="28">
        <v>52</v>
      </c>
      <c r="H247" s="17">
        <f>F247*75+G247</f>
        <v>0</v>
      </c>
      <c r="I247" s="17">
        <f>RANK(H247,H$196:H$270,1)</f>
        <v>0</v>
      </c>
      <c r="J247" s="17">
        <f>MATCH(G247,I$196:I$270,0)</f>
        <v>0</v>
      </c>
      <c r="K247" s="6">
        <f>INDEX(B$196:B$270,J247,1)</f>
        <v>0</v>
      </c>
      <c r="L247" s="6">
        <f>L246+INDEX(C$196:C$270,J247,1)</f>
        <v>0</v>
      </c>
      <c r="M247" s="6">
        <f>M246+(K247-K246)*L246</f>
        <v>0</v>
      </c>
      <c r="N247" s="6">
        <f>IF((M246&gt;0)=(M247&gt;0),"",K247-M247/L246)</f>
        <v>0</v>
      </c>
      <c r="O247" s="10"/>
    </row>
    <row r="248" spans="1:15">
      <c r="A248" s="11" t="s">
        <v>1233</v>
      </c>
      <c r="B248" s="6">
        <f>D86</f>
        <v>0</v>
      </c>
      <c r="C248" s="6">
        <f>D122</f>
        <v>0</v>
      </c>
      <c r="D248" s="6">
        <f>IF(ISERROR(B248),C248,0)</f>
        <v>0</v>
      </c>
      <c r="E248" s="6">
        <f>MAX($B$166,B248)*C248</f>
        <v>0</v>
      </c>
      <c r="F248" s="17">
        <f>RANK(B248,B$196:B$270,1)</f>
        <v>0</v>
      </c>
      <c r="G248" s="28">
        <v>53</v>
      </c>
      <c r="H248" s="17">
        <f>F248*75+G248</f>
        <v>0</v>
      </c>
      <c r="I248" s="17">
        <f>RANK(H248,H$196:H$270,1)</f>
        <v>0</v>
      </c>
      <c r="J248" s="17">
        <f>MATCH(G248,I$196:I$270,0)</f>
        <v>0</v>
      </c>
      <c r="K248" s="6">
        <f>INDEX(B$196:B$270,J248,1)</f>
        <v>0</v>
      </c>
      <c r="L248" s="6">
        <f>L247+INDEX(C$196:C$270,J248,1)</f>
        <v>0</v>
      </c>
      <c r="M248" s="6">
        <f>M247+(K248-K247)*L247</f>
        <v>0</v>
      </c>
      <c r="N248" s="6">
        <f>IF((M247&gt;0)=(M248&gt;0),"",K248-M248/L247)</f>
        <v>0</v>
      </c>
      <c r="O248" s="10"/>
    </row>
    <row r="249" spans="1:15">
      <c r="A249" s="11" t="s">
        <v>1234</v>
      </c>
      <c r="B249" s="6">
        <f>D87</f>
        <v>0</v>
      </c>
      <c r="C249" s="6">
        <f>D123</f>
        <v>0</v>
      </c>
      <c r="D249" s="6">
        <f>IF(ISERROR(B249),C249,0)</f>
        <v>0</v>
      </c>
      <c r="E249" s="6">
        <f>MAX($B$166,B249)*C249</f>
        <v>0</v>
      </c>
      <c r="F249" s="17">
        <f>RANK(B249,B$196:B$270,1)</f>
        <v>0</v>
      </c>
      <c r="G249" s="28">
        <v>54</v>
      </c>
      <c r="H249" s="17">
        <f>F249*75+G249</f>
        <v>0</v>
      </c>
      <c r="I249" s="17">
        <f>RANK(H249,H$196:H$270,1)</f>
        <v>0</v>
      </c>
      <c r="J249" s="17">
        <f>MATCH(G249,I$196:I$270,0)</f>
        <v>0</v>
      </c>
      <c r="K249" s="6">
        <f>INDEX(B$196:B$270,J249,1)</f>
        <v>0</v>
      </c>
      <c r="L249" s="6">
        <f>L248+INDEX(C$196:C$270,J249,1)</f>
        <v>0</v>
      </c>
      <c r="M249" s="6">
        <f>M248+(K249-K248)*L248</f>
        <v>0</v>
      </c>
      <c r="N249" s="6">
        <f>IF((M248&gt;0)=(M249&gt;0),"",K249-M249/L248)</f>
        <v>0</v>
      </c>
      <c r="O249" s="10"/>
    </row>
    <row r="250" spans="1:15">
      <c r="A250" s="11" t="s">
        <v>1235</v>
      </c>
      <c r="B250" s="6">
        <f>D88</f>
        <v>0</v>
      </c>
      <c r="C250" s="6">
        <f>D124</f>
        <v>0</v>
      </c>
      <c r="D250" s="6">
        <f>IF(ISERROR(B250),C250,0)</f>
        <v>0</v>
      </c>
      <c r="E250" s="6">
        <f>MAX($B$166,B250)*C250</f>
        <v>0</v>
      </c>
      <c r="F250" s="17">
        <f>RANK(B250,B$196:B$270,1)</f>
        <v>0</v>
      </c>
      <c r="G250" s="28">
        <v>55</v>
      </c>
      <c r="H250" s="17">
        <f>F250*75+G250</f>
        <v>0</v>
      </c>
      <c r="I250" s="17">
        <f>RANK(H250,H$196:H$270,1)</f>
        <v>0</v>
      </c>
      <c r="J250" s="17">
        <f>MATCH(G250,I$196:I$270,0)</f>
        <v>0</v>
      </c>
      <c r="K250" s="6">
        <f>INDEX(B$196:B$270,J250,1)</f>
        <v>0</v>
      </c>
      <c r="L250" s="6">
        <f>L249+INDEX(C$196:C$270,J250,1)</f>
        <v>0</v>
      </c>
      <c r="M250" s="6">
        <f>M249+(K250-K249)*L249</f>
        <v>0</v>
      </c>
      <c r="N250" s="6">
        <f>IF((M249&gt;0)=(M250&gt;0),"",K250-M250/L249)</f>
        <v>0</v>
      </c>
      <c r="O250" s="10"/>
    </row>
    <row r="251" spans="1:15">
      <c r="A251" s="11" t="s">
        <v>1236</v>
      </c>
      <c r="B251" s="6">
        <f>D89</f>
        <v>0</v>
      </c>
      <c r="C251" s="6">
        <f>D125</f>
        <v>0</v>
      </c>
      <c r="D251" s="6">
        <f>IF(ISERROR(B251),C251,0)</f>
        <v>0</v>
      </c>
      <c r="E251" s="6">
        <f>MAX($B$166,B251)*C251</f>
        <v>0</v>
      </c>
      <c r="F251" s="17">
        <f>RANK(B251,B$196:B$270,1)</f>
        <v>0</v>
      </c>
      <c r="G251" s="28">
        <v>56</v>
      </c>
      <c r="H251" s="17">
        <f>F251*75+G251</f>
        <v>0</v>
      </c>
      <c r="I251" s="17">
        <f>RANK(H251,H$196:H$270,1)</f>
        <v>0</v>
      </c>
      <c r="J251" s="17">
        <f>MATCH(G251,I$196:I$270,0)</f>
        <v>0</v>
      </c>
      <c r="K251" s="6">
        <f>INDEX(B$196:B$270,J251,1)</f>
        <v>0</v>
      </c>
      <c r="L251" s="6">
        <f>L250+INDEX(C$196:C$270,J251,1)</f>
        <v>0</v>
      </c>
      <c r="M251" s="6">
        <f>M250+(K251-K250)*L250</f>
        <v>0</v>
      </c>
      <c r="N251" s="6">
        <f>IF((M250&gt;0)=(M251&gt;0),"",K251-M251/L250)</f>
        <v>0</v>
      </c>
      <c r="O251" s="10"/>
    </row>
    <row r="252" spans="1:15">
      <c r="A252" s="11" t="s">
        <v>1237</v>
      </c>
      <c r="B252" s="6">
        <f>D90</f>
        <v>0</v>
      </c>
      <c r="C252" s="6">
        <f>D126</f>
        <v>0</v>
      </c>
      <c r="D252" s="6">
        <f>IF(ISERROR(B252),C252,0)</f>
        <v>0</v>
      </c>
      <c r="E252" s="6">
        <f>MAX($B$166,B252)*C252</f>
        <v>0</v>
      </c>
      <c r="F252" s="17">
        <f>RANK(B252,B$196:B$270,1)</f>
        <v>0</v>
      </c>
      <c r="G252" s="28">
        <v>57</v>
      </c>
      <c r="H252" s="17">
        <f>F252*75+G252</f>
        <v>0</v>
      </c>
      <c r="I252" s="17">
        <f>RANK(H252,H$196:H$270,1)</f>
        <v>0</v>
      </c>
      <c r="J252" s="17">
        <f>MATCH(G252,I$196:I$270,0)</f>
        <v>0</v>
      </c>
      <c r="K252" s="6">
        <f>INDEX(B$196:B$270,J252,1)</f>
        <v>0</v>
      </c>
      <c r="L252" s="6">
        <f>L251+INDEX(C$196:C$270,J252,1)</f>
        <v>0</v>
      </c>
      <c r="M252" s="6">
        <f>M251+(K252-K251)*L251</f>
        <v>0</v>
      </c>
      <c r="N252" s="6">
        <f>IF((M251&gt;0)=(M252&gt;0),"",K252-M252/L251)</f>
        <v>0</v>
      </c>
      <c r="O252" s="10"/>
    </row>
    <row r="253" spans="1:15">
      <c r="A253" s="11" t="s">
        <v>1238</v>
      </c>
      <c r="B253" s="6">
        <f>D91</f>
        <v>0</v>
      </c>
      <c r="C253" s="6">
        <f>D127</f>
        <v>0</v>
      </c>
      <c r="D253" s="6">
        <f>IF(ISERROR(B253),C253,0)</f>
        <v>0</v>
      </c>
      <c r="E253" s="6">
        <f>MAX($B$166,B253)*C253</f>
        <v>0</v>
      </c>
      <c r="F253" s="17">
        <f>RANK(B253,B$196:B$270,1)</f>
        <v>0</v>
      </c>
      <c r="G253" s="28">
        <v>58</v>
      </c>
      <c r="H253" s="17">
        <f>F253*75+G253</f>
        <v>0</v>
      </c>
      <c r="I253" s="17">
        <f>RANK(H253,H$196:H$270,1)</f>
        <v>0</v>
      </c>
      <c r="J253" s="17">
        <f>MATCH(G253,I$196:I$270,0)</f>
        <v>0</v>
      </c>
      <c r="K253" s="6">
        <f>INDEX(B$196:B$270,J253,1)</f>
        <v>0</v>
      </c>
      <c r="L253" s="6">
        <f>L252+INDEX(C$196:C$270,J253,1)</f>
        <v>0</v>
      </c>
      <c r="M253" s="6">
        <f>M252+(K253-K252)*L252</f>
        <v>0</v>
      </c>
      <c r="N253" s="6">
        <f>IF((M252&gt;0)=(M253&gt;0),"",K253-M253/L252)</f>
        <v>0</v>
      </c>
      <c r="O253" s="10"/>
    </row>
    <row r="254" spans="1:15">
      <c r="A254" s="11" t="s">
        <v>1239</v>
      </c>
      <c r="B254" s="6">
        <f>D92</f>
        <v>0</v>
      </c>
      <c r="C254" s="6">
        <f>D128</f>
        <v>0</v>
      </c>
      <c r="D254" s="6">
        <f>IF(ISERROR(B254),C254,0)</f>
        <v>0</v>
      </c>
      <c r="E254" s="6">
        <f>MAX($B$166,B254)*C254</f>
        <v>0</v>
      </c>
      <c r="F254" s="17">
        <f>RANK(B254,B$196:B$270,1)</f>
        <v>0</v>
      </c>
      <c r="G254" s="28">
        <v>59</v>
      </c>
      <c r="H254" s="17">
        <f>F254*75+G254</f>
        <v>0</v>
      </c>
      <c r="I254" s="17">
        <f>RANK(H254,H$196:H$270,1)</f>
        <v>0</v>
      </c>
      <c r="J254" s="17">
        <f>MATCH(G254,I$196:I$270,0)</f>
        <v>0</v>
      </c>
      <c r="K254" s="6">
        <f>INDEX(B$196:B$270,J254,1)</f>
        <v>0</v>
      </c>
      <c r="L254" s="6">
        <f>L253+INDEX(C$196:C$270,J254,1)</f>
        <v>0</v>
      </c>
      <c r="M254" s="6">
        <f>M253+(K254-K253)*L253</f>
        <v>0</v>
      </c>
      <c r="N254" s="6">
        <f>IF((M253&gt;0)=(M254&gt;0),"",K254-M254/L253)</f>
        <v>0</v>
      </c>
      <c r="O254" s="10"/>
    </row>
    <row r="255" spans="1:15">
      <c r="A255" s="11" t="s">
        <v>1240</v>
      </c>
      <c r="B255" s="6">
        <f>D93</f>
        <v>0</v>
      </c>
      <c r="C255" s="6">
        <f>D129</f>
        <v>0</v>
      </c>
      <c r="D255" s="6">
        <f>IF(ISERROR(B255),C255,0)</f>
        <v>0</v>
      </c>
      <c r="E255" s="6">
        <f>MAX($B$166,B255)*C255</f>
        <v>0</v>
      </c>
      <c r="F255" s="17">
        <f>RANK(B255,B$196:B$270,1)</f>
        <v>0</v>
      </c>
      <c r="G255" s="28">
        <v>60</v>
      </c>
      <c r="H255" s="17">
        <f>F255*75+G255</f>
        <v>0</v>
      </c>
      <c r="I255" s="17">
        <f>RANK(H255,H$196:H$270,1)</f>
        <v>0</v>
      </c>
      <c r="J255" s="17">
        <f>MATCH(G255,I$196:I$270,0)</f>
        <v>0</v>
      </c>
      <c r="K255" s="6">
        <f>INDEX(B$196:B$270,J255,1)</f>
        <v>0</v>
      </c>
      <c r="L255" s="6">
        <f>L254+INDEX(C$196:C$270,J255,1)</f>
        <v>0</v>
      </c>
      <c r="M255" s="6">
        <f>M254+(K255-K254)*L254</f>
        <v>0</v>
      </c>
      <c r="N255" s="6">
        <f>IF((M254&gt;0)=(M255&gt;0),"",K255-M255/L254)</f>
        <v>0</v>
      </c>
      <c r="O255" s="10"/>
    </row>
    <row r="256" spans="1:15">
      <c r="A256" s="11" t="s">
        <v>1241</v>
      </c>
      <c r="B256" s="6">
        <f>D94</f>
        <v>0</v>
      </c>
      <c r="C256" s="6">
        <f>D130</f>
        <v>0</v>
      </c>
      <c r="D256" s="6">
        <f>IF(ISERROR(B256),C256,0)</f>
        <v>0</v>
      </c>
      <c r="E256" s="6">
        <f>MAX($B$166,B256)*C256</f>
        <v>0</v>
      </c>
      <c r="F256" s="17">
        <f>RANK(B256,B$196:B$270,1)</f>
        <v>0</v>
      </c>
      <c r="G256" s="28">
        <v>61</v>
      </c>
      <c r="H256" s="17">
        <f>F256*75+G256</f>
        <v>0</v>
      </c>
      <c r="I256" s="17">
        <f>RANK(H256,H$196:H$270,1)</f>
        <v>0</v>
      </c>
      <c r="J256" s="17">
        <f>MATCH(G256,I$196:I$270,0)</f>
        <v>0</v>
      </c>
      <c r="K256" s="6">
        <f>INDEX(B$196:B$270,J256,1)</f>
        <v>0</v>
      </c>
      <c r="L256" s="6">
        <f>L255+INDEX(C$196:C$270,J256,1)</f>
        <v>0</v>
      </c>
      <c r="M256" s="6">
        <f>M255+(K256-K255)*L255</f>
        <v>0</v>
      </c>
      <c r="N256" s="6">
        <f>IF((M255&gt;0)=(M256&gt;0),"",K256-M256/L255)</f>
        <v>0</v>
      </c>
      <c r="O256" s="10"/>
    </row>
    <row r="257" spans="1:15">
      <c r="A257" s="11" t="s">
        <v>1242</v>
      </c>
      <c r="B257" s="6">
        <f>D95</f>
        <v>0</v>
      </c>
      <c r="C257" s="6">
        <f>D131</f>
        <v>0</v>
      </c>
      <c r="D257" s="6">
        <f>IF(ISERROR(B257),C257,0)</f>
        <v>0</v>
      </c>
      <c r="E257" s="6">
        <f>MAX($B$166,B257)*C257</f>
        <v>0</v>
      </c>
      <c r="F257" s="17">
        <f>RANK(B257,B$196:B$270,1)</f>
        <v>0</v>
      </c>
      <c r="G257" s="28">
        <v>62</v>
      </c>
      <c r="H257" s="17">
        <f>F257*75+G257</f>
        <v>0</v>
      </c>
      <c r="I257" s="17">
        <f>RANK(H257,H$196:H$270,1)</f>
        <v>0</v>
      </c>
      <c r="J257" s="17">
        <f>MATCH(G257,I$196:I$270,0)</f>
        <v>0</v>
      </c>
      <c r="K257" s="6">
        <f>INDEX(B$196:B$270,J257,1)</f>
        <v>0</v>
      </c>
      <c r="L257" s="6">
        <f>L256+INDEX(C$196:C$270,J257,1)</f>
        <v>0</v>
      </c>
      <c r="M257" s="6">
        <f>M256+(K257-K256)*L256</f>
        <v>0</v>
      </c>
      <c r="N257" s="6">
        <f>IF((M256&gt;0)=(M257&gt;0),"",K257-M257/L256)</f>
        <v>0</v>
      </c>
      <c r="O257" s="10"/>
    </row>
    <row r="258" spans="1:15">
      <c r="A258" s="11" t="s">
        <v>1243</v>
      </c>
      <c r="B258" s="6">
        <f>D96</f>
        <v>0</v>
      </c>
      <c r="C258" s="6">
        <f>D132</f>
        <v>0</v>
      </c>
      <c r="D258" s="6">
        <f>IF(ISERROR(B258),C258,0)</f>
        <v>0</v>
      </c>
      <c r="E258" s="6">
        <f>MAX($B$166,B258)*C258</f>
        <v>0</v>
      </c>
      <c r="F258" s="17">
        <f>RANK(B258,B$196:B$270,1)</f>
        <v>0</v>
      </c>
      <c r="G258" s="28">
        <v>63</v>
      </c>
      <c r="H258" s="17">
        <f>F258*75+G258</f>
        <v>0</v>
      </c>
      <c r="I258" s="17">
        <f>RANK(H258,H$196:H$270,1)</f>
        <v>0</v>
      </c>
      <c r="J258" s="17">
        <f>MATCH(G258,I$196:I$270,0)</f>
        <v>0</v>
      </c>
      <c r="K258" s="6">
        <f>INDEX(B$196:B$270,J258,1)</f>
        <v>0</v>
      </c>
      <c r="L258" s="6">
        <f>L257+INDEX(C$196:C$270,J258,1)</f>
        <v>0</v>
      </c>
      <c r="M258" s="6">
        <f>M257+(K258-K257)*L257</f>
        <v>0</v>
      </c>
      <c r="N258" s="6">
        <f>IF((M257&gt;0)=(M258&gt;0),"",K258-M258/L257)</f>
        <v>0</v>
      </c>
      <c r="O258" s="10"/>
    </row>
    <row r="259" spans="1:15">
      <c r="A259" s="11" t="s">
        <v>1244</v>
      </c>
      <c r="B259" s="6">
        <f>D97</f>
        <v>0</v>
      </c>
      <c r="C259" s="6">
        <f>D133</f>
        <v>0</v>
      </c>
      <c r="D259" s="6">
        <f>IF(ISERROR(B259),C259,0)</f>
        <v>0</v>
      </c>
      <c r="E259" s="6">
        <f>MAX($B$166,B259)*C259</f>
        <v>0</v>
      </c>
      <c r="F259" s="17">
        <f>RANK(B259,B$196:B$270,1)</f>
        <v>0</v>
      </c>
      <c r="G259" s="28">
        <v>64</v>
      </c>
      <c r="H259" s="17">
        <f>F259*75+G259</f>
        <v>0</v>
      </c>
      <c r="I259" s="17">
        <f>RANK(H259,H$196:H$270,1)</f>
        <v>0</v>
      </c>
      <c r="J259" s="17">
        <f>MATCH(G259,I$196:I$270,0)</f>
        <v>0</v>
      </c>
      <c r="K259" s="6">
        <f>INDEX(B$196:B$270,J259,1)</f>
        <v>0</v>
      </c>
      <c r="L259" s="6">
        <f>L258+INDEX(C$196:C$270,J259,1)</f>
        <v>0</v>
      </c>
      <c r="M259" s="6">
        <f>M258+(K259-K258)*L258</f>
        <v>0</v>
      </c>
      <c r="N259" s="6">
        <f>IF((M258&gt;0)=(M259&gt;0),"",K259-M259/L258)</f>
        <v>0</v>
      </c>
      <c r="O259" s="10"/>
    </row>
    <row r="260" spans="1:15">
      <c r="A260" s="11" t="s">
        <v>1245</v>
      </c>
      <c r="B260" s="6">
        <f>D98</f>
        <v>0</v>
      </c>
      <c r="C260" s="6">
        <f>D134</f>
        <v>0</v>
      </c>
      <c r="D260" s="6">
        <f>IF(ISERROR(B260),C260,0)</f>
        <v>0</v>
      </c>
      <c r="E260" s="6">
        <f>MAX($B$166,B260)*C260</f>
        <v>0</v>
      </c>
      <c r="F260" s="17">
        <f>RANK(B260,B$196:B$270,1)</f>
        <v>0</v>
      </c>
      <c r="G260" s="28">
        <v>65</v>
      </c>
      <c r="H260" s="17">
        <f>F260*75+G260</f>
        <v>0</v>
      </c>
      <c r="I260" s="17">
        <f>RANK(H260,H$196:H$270,1)</f>
        <v>0</v>
      </c>
      <c r="J260" s="17">
        <f>MATCH(G260,I$196:I$270,0)</f>
        <v>0</v>
      </c>
      <c r="K260" s="6">
        <f>INDEX(B$196:B$270,J260,1)</f>
        <v>0</v>
      </c>
      <c r="L260" s="6">
        <f>L259+INDEX(C$196:C$270,J260,1)</f>
        <v>0</v>
      </c>
      <c r="M260" s="6">
        <f>M259+(K260-K259)*L259</f>
        <v>0</v>
      </c>
      <c r="N260" s="6">
        <f>IF((M259&gt;0)=(M260&gt;0),"",K260-M260/L259)</f>
        <v>0</v>
      </c>
      <c r="O260" s="10"/>
    </row>
    <row r="261" spans="1:15">
      <c r="A261" s="11" t="s">
        <v>1246</v>
      </c>
      <c r="B261" s="6">
        <f>D99</f>
        <v>0</v>
      </c>
      <c r="C261" s="6">
        <f>D135</f>
        <v>0</v>
      </c>
      <c r="D261" s="6">
        <f>IF(ISERROR(B261),C261,0)</f>
        <v>0</v>
      </c>
      <c r="E261" s="6">
        <f>MAX($B$166,B261)*C261</f>
        <v>0</v>
      </c>
      <c r="F261" s="17">
        <f>RANK(B261,B$196:B$270,1)</f>
        <v>0</v>
      </c>
      <c r="G261" s="28">
        <v>66</v>
      </c>
      <c r="H261" s="17">
        <f>F261*75+G261</f>
        <v>0</v>
      </c>
      <c r="I261" s="17">
        <f>RANK(H261,H$196:H$270,1)</f>
        <v>0</v>
      </c>
      <c r="J261" s="17">
        <f>MATCH(G261,I$196:I$270,0)</f>
        <v>0</v>
      </c>
      <c r="K261" s="6">
        <f>INDEX(B$196:B$270,J261,1)</f>
        <v>0</v>
      </c>
      <c r="L261" s="6">
        <f>L260+INDEX(C$196:C$270,J261,1)</f>
        <v>0</v>
      </c>
      <c r="M261" s="6">
        <f>M260+(K261-K260)*L260</f>
        <v>0</v>
      </c>
      <c r="N261" s="6">
        <f>IF((M260&gt;0)=(M261&gt;0),"",K261-M261/L260)</f>
        <v>0</v>
      </c>
      <c r="O261" s="10"/>
    </row>
    <row r="262" spans="1:15">
      <c r="A262" s="11" t="s">
        <v>1247</v>
      </c>
      <c r="B262" s="6">
        <f>D100</f>
        <v>0</v>
      </c>
      <c r="C262" s="6">
        <f>D136</f>
        <v>0</v>
      </c>
      <c r="D262" s="6">
        <f>IF(ISERROR(B262),C262,0)</f>
        <v>0</v>
      </c>
      <c r="E262" s="6">
        <f>MAX($B$166,B262)*C262</f>
        <v>0</v>
      </c>
      <c r="F262" s="17">
        <f>RANK(B262,B$196:B$270,1)</f>
        <v>0</v>
      </c>
      <c r="G262" s="28">
        <v>67</v>
      </c>
      <c r="H262" s="17">
        <f>F262*75+G262</f>
        <v>0</v>
      </c>
      <c r="I262" s="17">
        <f>RANK(H262,H$196:H$270,1)</f>
        <v>0</v>
      </c>
      <c r="J262" s="17">
        <f>MATCH(G262,I$196:I$270,0)</f>
        <v>0</v>
      </c>
      <c r="K262" s="6">
        <f>INDEX(B$196:B$270,J262,1)</f>
        <v>0</v>
      </c>
      <c r="L262" s="6">
        <f>L261+INDEX(C$196:C$270,J262,1)</f>
        <v>0</v>
      </c>
      <c r="M262" s="6">
        <f>M261+(K262-K261)*L261</f>
        <v>0</v>
      </c>
      <c r="N262" s="6">
        <f>IF((M261&gt;0)=(M262&gt;0),"",K262-M262/L261)</f>
        <v>0</v>
      </c>
      <c r="O262" s="10"/>
    </row>
    <row r="263" spans="1:15">
      <c r="A263" s="11" t="s">
        <v>1248</v>
      </c>
      <c r="B263" s="6">
        <f>D101</f>
        <v>0</v>
      </c>
      <c r="C263" s="6">
        <f>D137</f>
        <v>0</v>
      </c>
      <c r="D263" s="6">
        <f>IF(ISERROR(B263),C263,0)</f>
        <v>0</v>
      </c>
      <c r="E263" s="6">
        <f>MAX($B$166,B263)*C263</f>
        <v>0</v>
      </c>
      <c r="F263" s="17">
        <f>RANK(B263,B$196:B$270,1)</f>
        <v>0</v>
      </c>
      <c r="G263" s="28">
        <v>68</v>
      </c>
      <c r="H263" s="17">
        <f>F263*75+G263</f>
        <v>0</v>
      </c>
      <c r="I263" s="17">
        <f>RANK(H263,H$196:H$270,1)</f>
        <v>0</v>
      </c>
      <c r="J263" s="17">
        <f>MATCH(G263,I$196:I$270,0)</f>
        <v>0</v>
      </c>
      <c r="K263" s="6">
        <f>INDEX(B$196:B$270,J263,1)</f>
        <v>0</v>
      </c>
      <c r="L263" s="6">
        <f>L262+INDEX(C$196:C$270,J263,1)</f>
        <v>0</v>
      </c>
      <c r="M263" s="6">
        <f>M262+(K263-K262)*L262</f>
        <v>0</v>
      </c>
      <c r="N263" s="6">
        <f>IF((M262&gt;0)=(M263&gt;0),"",K263-M263/L262)</f>
        <v>0</v>
      </c>
      <c r="O263" s="10"/>
    </row>
    <row r="264" spans="1:15">
      <c r="A264" s="11" t="s">
        <v>1249</v>
      </c>
      <c r="B264" s="6">
        <f>D102</f>
        <v>0</v>
      </c>
      <c r="C264" s="6">
        <f>D138</f>
        <v>0</v>
      </c>
      <c r="D264" s="6">
        <f>IF(ISERROR(B264),C264,0)</f>
        <v>0</v>
      </c>
      <c r="E264" s="6">
        <f>MAX($B$166,B264)*C264</f>
        <v>0</v>
      </c>
      <c r="F264" s="17">
        <f>RANK(B264,B$196:B$270,1)</f>
        <v>0</v>
      </c>
      <c r="G264" s="28">
        <v>69</v>
      </c>
      <c r="H264" s="17">
        <f>F264*75+G264</f>
        <v>0</v>
      </c>
      <c r="I264" s="17">
        <f>RANK(H264,H$196:H$270,1)</f>
        <v>0</v>
      </c>
      <c r="J264" s="17">
        <f>MATCH(G264,I$196:I$270,0)</f>
        <v>0</v>
      </c>
      <c r="K264" s="6">
        <f>INDEX(B$196:B$270,J264,1)</f>
        <v>0</v>
      </c>
      <c r="L264" s="6">
        <f>L263+INDEX(C$196:C$270,J264,1)</f>
        <v>0</v>
      </c>
      <c r="M264" s="6">
        <f>M263+(K264-K263)*L263</f>
        <v>0</v>
      </c>
      <c r="N264" s="6">
        <f>IF((M263&gt;0)=(M264&gt;0),"",K264-M264/L263)</f>
        <v>0</v>
      </c>
      <c r="O264" s="10"/>
    </row>
    <row r="265" spans="1:15">
      <c r="A265" s="11" t="s">
        <v>1250</v>
      </c>
      <c r="B265" s="6">
        <f>D103</f>
        <v>0</v>
      </c>
      <c r="C265" s="6">
        <f>D139</f>
        <v>0</v>
      </c>
      <c r="D265" s="6">
        <f>IF(ISERROR(B265),C265,0)</f>
        <v>0</v>
      </c>
      <c r="E265" s="6">
        <f>MAX($B$166,B265)*C265</f>
        <v>0</v>
      </c>
      <c r="F265" s="17">
        <f>RANK(B265,B$196:B$270,1)</f>
        <v>0</v>
      </c>
      <c r="G265" s="28">
        <v>70</v>
      </c>
      <c r="H265" s="17">
        <f>F265*75+G265</f>
        <v>0</v>
      </c>
      <c r="I265" s="17">
        <f>RANK(H265,H$196:H$270,1)</f>
        <v>0</v>
      </c>
      <c r="J265" s="17">
        <f>MATCH(G265,I$196:I$270,0)</f>
        <v>0</v>
      </c>
      <c r="K265" s="6">
        <f>INDEX(B$196:B$270,J265,1)</f>
        <v>0</v>
      </c>
      <c r="L265" s="6">
        <f>L264+INDEX(C$196:C$270,J265,1)</f>
        <v>0</v>
      </c>
      <c r="M265" s="6">
        <f>M264+(K265-K264)*L264</f>
        <v>0</v>
      </c>
      <c r="N265" s="6">
        <f>IF((M264&gt;0)=(M265&gt;0),"",K265-M265/L264)</f>
        <v>0</v>
      </c>
      <c r="O265" s="10"/>
    </row>
    <row r="266" spans="1:15">
      <c r="A266" s="11" t="s">
        <v>1251</v>
      </c>
      <c r="B266" s="6">
        <f>D104</f>
        <v>0</v>
      </c>
      <c r="C266" s="6">
        <f>D140</f>
        <v>0</v>
      </c>
      <c r="D266" s="6">
        <f>IF(ISERROR(B266),C266,0)</f>
        <v>0</v>
      </c>
      <c r="E266" s="6">
        <f>MAX($B$166,B266)*C266</f>
        <v>0</v>
      </c>
      <c r="F266" s="17">
        <f>RANK(B266,B$196:B$270,1)</f>
        <v>0</v>
      </c>
      <c r="G266" s="28">
        <v>71</v>
      </c>
      <c r="H266" s="17">
        <f>F266*75+G266</f>
        <v>0</v>
      </c>
      <c r="I266" s="17">
        <f>RANK(H266,H$196:H$270,1)</f>
        <v>0</v>
      </c>
      <c r="J266" s="17">
        <f>MATCH(G266,I$196:I$270,0)</f>
        <v>0</v>
      </c>
      <c r="K266" s="6">
        <f>INDEX(B$196:B$270,J266,1)</f>
        <v>0</v>
      </c>
      <c r="L266" s="6">
        <f>L265+INDEX(C$196:C$270,J266,1)</f>
        <v>0</v>
      </c>
      <c r="M266" s="6">
        <f>M265+(K266-K265)*L265</f>
        <v>0</v>
      </c>
      <c r="N266" s="6">
        <f>IF((M265&gt;0)=(M266&gt;0),"",K266-M266/L265)</f>
        <v>0</v>
      </c>
      <c r="O266" s="10"/>
    </row>
    <row r="267" spans="1:15">
      <c r="A267" s="11" t="s">
        <v>1252</v>
      </c>
      <c r="B267" s="6">
        <f>D105</f>
        <v>0</v>
      </c>
      <c r="C267" s="6">
        <f>D141</f>
        <v>0</v>
      </c>
      <c r="D267" s="6">
        <f>IF(ISERROR(B267),C267,0)</f>
        <v>0</v>
      </c>
      <c r="E267" s="6">
        <f>MAX($B$166,B267)*C267</f>
        <v>0</v>
      </c>
      <c r="F267" s="17">
        <f>RANK(B267,B$196:B$270,1)</f>
        <v>0</v>
      </c>
      <c r="G267" s="28">
        <v>72</v>
      </c>
      <c r="H267" s="17">
        <f>F267*75+G267</f>
        <v>0</v>
      </c>
      <c r="I267" s="17">
        <f>RANK(H267,H$196:H$270,1)</f>
        <v>0</v>
      </c>
      <c r="J267" s="17">
        <f>MATCH(G267,I$196:I$270,0)</f>
        <v>0</v>
      </c>
      <c r="K267" s="6">
        <f>INDEX(B$196:B$270,J267,1)</f>
        <v>0</v>
      </c>
      <c r="L267" s="6">
        <f>L266+INDEX(C$196:C$270,J267,1)</f>
        <v>0</v>
      </c>
      <c r="M267" s="6">
        <f>M266+(K267-K266)*L266</f>
        <v>0</v>
      </c>
      <c r="N267" s="6">
        <f>IF((M266&gt;0)=(M267&gt;0),"",K267-M267/L266)</f>
        <v>0</v>
      </c>
      <c r="O267" s="10"/>
    </row>
    <row r="268" spans="1:15">
      <c r="A268" s="11" t="s">
        <v>1253</v>
      </c>
      <c r="B268" s="6">
        <f>D106</f>
        <v>0</v>
      </c>
      <c r="C268" s="6">
        <f>D142</f>
        <v>0</v>
      </c>
      <c r="D268" s="6">
        <f>IF(ISERROR(B268),C268,0)</f>
        <v>0</v>
      </c>
      <c r="E268" s="6">
        <f>MAX($B$166,B268)*C268</f>
        <v>0</v>
      </c>
      <c r="F268" s="17">
        <f>RANK(B268,B$196:B$270,1)</f>
        <v>0</v>
      </c>
      <c r="G268" s="28">
        <v>73</v>
      </c>
      <c r="H268" s="17">
        <f>F268*75+G268</f>
        <v>0</v>
      </c>
      <c r="I268" s="17">
        <f>RANK(H268,H$196:H$270,1)</f>
        <v>0</v>
      </c>
      <c r="J268" s="17">
        <f>MATCH(G268,I$196:I$270,0)</f>
        <v>0</v>
      </c>
      <c r="K268" s="6">
        <f>INDEX(B$196:B$270,J268,1)</f>
        <v>0</v>
      </c>
      <c r="L268" s="6">
        <f>L267+INDEX(C$196:C$270,J268,1)</f>
        <v>0</v>
      </c>
      <c r="M268" s="6">
        <f>M267+(K268-K267)*L267</f>
        <v>0</v>
      </c>
      <c r="N268" s="6">
        <f>IF((M267&gt;0)=(M268&gt;0),"",K268-M268/L267)</f>
        <v>0</v>
      </c>
      <c r="O268" s="10"/>
    </row>
    <row r="269" spans="1:15">
      <c r="A269" s="11" t="s">
        <v>1254</v>
      </c>
      <c r="B269" s="6">
        <f>D107</f>
        <v>0</v>
      </c>
      <c r="C269" s="6">
        <f>D143</f>
        <v>0</v>
      </c>
      <c r="D269" s="6">
        <f>IF(ISERROR(B269),C269,0)</f>
        <v>0</v>
      </c>
      <c r="E269" s="6">
        <f>MAX($B$166,B269)*C269</f>
        <v>0</v>
      </c>
      <c r="F269" s="17">
        <f>RANK(B269,B$196:B$270,1)</f>
        <v>0</v>
      </c>
      <c r="G269" s="28">
        <v>74</v>
      </c>
      <c r="H269" s="17">
        <f>F269*75+G269</f>
        <v>0</v>
      </c>
      <c r="I269" s="17">
        <f>RANK(H269,H$196:H$270,1)</f>
        <v>0</v>
      </c>
      <c r="J269" s="17">
        <f>MATCH(G269,I$196:I$270,0)</f>
        <v>0</v>
      </c>
      <c r="K269" s="6">
        <f>INDEX(B$196:B$270,J269,1)</f>
        <v>0</v>
      </c>
      <c r="L269" s="6">
        <f>L268+INDEX(C$196:C$270,J269,1)</f>
        <v>0</v>
      </c>
      <c r="M269" s="6">
        <f>M268+(K269-K268)*L268</f>
        <v>0</v>
      </c>
      <c r="N269" s="6">
        <f>IF((M268&gt;0)=(M269&gt;0),"",K269-M269/L268)</f>
        <v>0</v>
      </c>
      <c r="O269" s="10"/>
    </row>
    <row r="270" spans="1:15">
      <c r="A270" s="11" t="s">
        <v>1255</v>
      </c>
      <c r="B270" s="6">
        <f>D108</f>
        <v>0</v>
      </c>
      <c r="C270" s="6">
        <f>D144</f>
        <v>0</v>
      </c>
      <c r="D270" s="6">
        <f>IF(ISERROR(B270),C270,0)</f>
        <v>0</v>
      </c>
      <c r="E270" s="6">
        <f>MAX($B$166,B270)*C270</f>
        <v>0</v>
      </c>
      <c r="F270" s="17">
        <f>RANK(B270,B$196:B$270,1)</f>
        <v>0</v>
      </c>
      <c r="G270" s="28">
        <v>75</v>
      </c>
      <c r="H270" s="17">
        <f>F270*75+G270</f>
        <v>0</v>
      </c>
      <c r="I270" s="17">
        <f>RANK(H270,H$196:H$270,1)</f>
        <v>0</v>
      </c>
      <c r="J270" s="17">
        <f>MATCH(G270,I$196:I$270,0)</f>
        <v>0</v>
      </c>
      <c r="K270" s="6">
        <f>INDEX(B$196:B$270,J270,1)</f>
        <v>0</v>
      </c>
      <c r="L270" s="6">
        <f>L269+INDEX(C$196:C$270,J270,1)</f>
        <v>0</v>
      </c>
      <c r="M270" s="6">
        <f>M269+(K270-K269)*L269</f>
        <v>0</v>
      </c>
      <c r="N270" s="6">
        <f>IF((M269&gt;0)=(M270&gt;0),"",K270-M270/L269)</f>
        <v>0</v>
      </c>
      <c r="O270" s="10"/>
    </row>
    <row r="272" spans="1:15">
      <c r="A272" s="1" t="s">
        <v>1256</v>
      </c>
    </row>
    <row r="273" spans="1:3">
      <c r="A273" s="2" t="s">
        <v>349</v>
      </c>
    </row>
    <row r="274" spans="1:3">
      <c r="A274" s="12" t="s">
        <v>1257</v>
      </c>
    </row>
    <row r="275" spans="1:3">
      <c r="A275" s="2" t="s">
        <v>1258</v>
      </c>
    </row>
    <row r="277" spans="1:3">
      <c r="B277" s="3" t="s">
        <v>1259</v>
      </c>
    </row>
    <row r="278" spans="1:3">
      <c r="A278" s="11" t="s">
        <v>1259</v>
      </c>
      <c r="B278" s="6">
        <f>MIN($N$195:$N$270)</f>
        <v>0</v>
      </c>
      <c r="C278" s="10"/>
    </row>
    <row r="280" spans="1:3">
      <c r="A280" s="1" t="s">
        <v>1260</v>
      </c>
    </row>
    <row r="281" spans="1:3">
      <c r="A281" s="2" t="s">
        <v>349</v>
      </c>
    </row>
    <row r="282" spans="1:3">
      <c r="A282" s="12" t="s">
        <v>1261</v>
      </c>
    </row>
    <row r="283" spans="1:3">
      <c r="A283" s="26" t="s">
        <v>352</v>
      </c>
      <c r="B283" s="26" t="s">
        <v>482</v>
      </c>
    </row>
    <row r="284" spans="1:3">
      <c r="A284" s="26" t="s">
        <v>355</v>
      </c>
      <c r="B284" s="26" t="s">
        <v>1262</v>
      </c>
    </row>
    <row r="286" spans="1:3">
      <c r="B286" s="3" t="s">
        <v>1263</v>
      </c>
    </row>
    <row r="287" spans="1:3">
      <c r="A287" s="11" t="s">
        <v>172</v>
      </c>
      <c r="B287" s="6">
        <f>0-'Aggreg'!E227</f>
        <v>0</v>
      </c>
      <c r="C287" s="10"/>
    </row>
    <row r="288" spans="1:3">
      <c r="A288" s="11" t="s">
        <v>173</v>
      </c>
      <c r="B288" s="6">
        <f>0-'Aggreg'!E228</f>
        <v>0</v>
      </c>
      <c r="C288" s="10"/>
    </row>
    <row r="289" spans="1:3">
      <c r="A289" s="11" t="s">
        <v>210</v>
      </c>
      <c r="B289" s="9"/>
      <c r="C289" s="10"/>
    </row>
    <row r="290" spans="1:3">
      <c r="A290" s="11" t="s">
        <v>174</v>
      </c>
      <c r="B290" s="6">
        <f>0-'Aggreg'!E230</f>
        <v>0</v>
      </c>
      <c r="C290" s="10"/>
    </row>
    <row r="291" spans="1:3">
      <c r="A291" s="11" t="s">
        <v>175</v>
      </c>
      <c r="B291" s="6">
        <f>0-'Aggreg'!E231</f>
        <v>0</v>
      </c>
      <c r="C291" s="10"/>
    </row>
    <row r="292" spans="1:3">
      <c r="A292" s="11" t="s">
        <v>211</v>
      </c>
      <c r="B292" s="9"/>
      <c r="C292" s="10"/>
    </row>
    <row r="293" spans="1:3">
      <c r="A293" s="11" t="s">
        <v>176</v>
      </c>
      <c r="B293" s="6">
        <f>0-'Aggreg'!E233</f>
        <v>0</v>
      </c>
      <c r="C293" s="10"/>
    </row>
    <row r="294" spans="1:3">
      <c r="A294" s="11" t="s">
        <v>177</v>
      </c>
      <c r="B294" s="6">
        <f>0-'Aggreg'!E234</f>
        <v>0</v>
      </c>
      <c r="C294" s="10"/>
    </row>
    <row r="295" spans="1:3">
      <c r="A295" s="11" t="s">
        <v>191</v>
      </c>
      <c r="B295" s="6">
        <f>0-'Aggreg'!E235</f>
        <v>0</v>
      </c>
      <c r="C295" s="10"/>
    </row>
    <row r="296" spans="1:3">
      <c r="A296" s="11" t="s">
        <v>178</v>
      </c>
      <c r="B296" s="6">
        <f>0-'Aggreg'!E236</f>
        <v>0</v>
      </c>
      <c r="C296" s="10"/>
    </row>
    <row r="297" spans="1:3">
      <c r="A297" s="11" t="s">
        <v>179</v>
      </c>
      <c r="B297" s="6">
        <f>0-'Aggreg'!E237</f>
        <v>0</v>
      </c>
      <c r="C297" s="10"/>
    </row>
    <row r="298" spans="1:3">
      <c r="A298" s="11" t="s">
        <v>192</v>
      </c>
      <c r="B298" s="6">
        <f>0-'Aggreg'!E238</f>
        <v>0</v>
      </c>
      <c r="C298" s="10"/>
    </row>
    <row r="299" spans="1:3">
      <c r="A299" s="11" t="s">
        <v>212</v>
      </c>
      <c r="B299" s="9"/>
      <c r="C299" s="10"/>
    </row>
    <row r="300" spans="1:3">
      <c r="A300" s="11" t="s">
        <v>213</v>
      </c>
      <c r="B300" s="9"/>
      <c r="C300" s="10"/>
    </row>
    <row r="301" spans="1:3">
      <c r="A301" s="11" t="s">
        <v>214</v>
      </c>
      <c r="B301" s="9"/>
      <c r="C301" s="10"/>
    </row>
    <row r="302" spans="1:3">
      <c r="A302" s="11" t="s">
        <v>215</v>
      </c>
      <c r="B302" s="9"/>
      <c r="C302" s="10"/>
    </row>
    <row r="303" spans="1:3">
      <c r="A303" s="11" t="s">
        <v>216</v>
      </c>
      <c r="B303" s="9"/>
      <c r="C303" s="10"/>
    </row>
    <row r="304" spans="1:3">
      <c r="A304" s="11" t="s">
        <v>180</v>
      </c>
      <c r="B304" s="6">
        <f>0-'Aggreg'!E244</f>
        <v>0</v>
      </c>
      <c r="C304" s="10"/>
    </row>
    <row r="305" spans="1:3">
      <c r="A305" s="11" t="s">
        <v>181</v>
      </c>
      <c r="B305" s="6">
        <f>0-'Aggreg'!E245</f>
        <v>0</v>
      </c>
      <c r="C305" s="10"/>
    </row>
    <row r="306" spans="1:3">
      <c r="A306" s="11" t="s">
        <v>182</v>
      </c>
      <c r="B306" s="6">
        <f>0-'Aggreg'!E246</f>
        <v>0</v>
      </c>
      <c r="C306" s="10"/>
    </row>
    <row r="307" spans="1:3">
      <c r="A307" s="11" t="s">
        <v>183</v>
      </c>
      <c r="B307" s="6">
        <f>0-'Aggreg'!E247</f>
        <v>0</v>
      </c>
      <c r="C307" s="10"/>
    </row>
    <row r="308" spans="1:3">
      <c r="A308" s="11" t="s">
        <v>184</v>
      </c>
      <c r="B308" s="6">
        <f>0-'Aggreg'!E248</f>
        <v>0</v>
      </c>
      <c r="C308" s="10"/>
    </row>
    <row r="309" spans="1:3">
      <c r="A309" s="11" t="s">
        <v>185</v>
      </c>
      <c r="B309" s="6">
        <f>0-'Aggreg'!E249</f>
        <v>0</v>
      </c>
      <c r="C309" s="10"/>
    </row>
    <row r="310" spans="1:3">
      <c r="A310" s="11" t="s">
        <v>193</v>
      </c>
      <c r="B310" s="6">
        <f>0-'Aggreg'!E250</f>
        <v>0</v>
      </c>
      <c r="C310" s="10"/>
    </row>
    <row r="311" spans="1:3">
      <c r="A311" s="11" t="s">
        <v>194</v>
      </c>
      <c r="B311" s="6">
        <f>0-'Aggreg'!E251</f>
        <v>0</v>
      </c>
      <c r="C311" s="10"/>
    </row>
    <row r="313" spans="1:3">
      <c r="A313" s="1" t="s">
        <v>1264</v>
      </c>
    </row>
    <row r="314" spans="1:3">
      <c r="A314" s="2" t="s">
        <v>349</v>
      </c>
    </row>
    <row r="315" spans="1:3">
      <c r="A315" s="12" t="s">
        <v>1261</v>
      </c>
    </row>
    <row r="316" spans="1:3">
      <c r="A316" s="12" t="s">
        <v>834</v>
      </c>
    </row>
    <row r="317" spans="1:3">
      <c r="A317" s="12" t="s">
        <v>402</v>
      </c>
    </row>
    <row r="318" spans="1:3">
      <c r="A318" s="26" t="s">
        <v>352</v>
      </c>
      <c r="B318" s="26" t="s">
        <v>482</v>
      </c>
    </row>
    <row r="319" spans="1:3">
      <c r="A319" s="26" t="s">
        <v>355</v>
      </c>
      <c r="B319" s="26" t="s">
        <v>1265</v>
      </c>
    </row>
    <row r="321" spans="1:3">
      <c r="B321" s="3" t="s">
        <v>1266</v>
      </c>
    </row>
    <row r="322" spans="1:3">
      <c r="A322" s="11" t="s">
        <v>172</v>
      </c>
      <c r="B322" s="6">
        <f>IF('Aggreg'!E227&gt;0,'Loads'!E282*'Input'!F$58*0.01,0)</f>
        <v>0</v>
      </c>
      <c r="C322" s="10"/>
    </row>
    <row r="323" spans="1:3">
      <c r="A323" s="11" t="s">
        <v>173</v>
      </c>
      <c r="B323" s="6">
        <f>IF('Aggreg'!E228&gt;0,'Loads'!E283*'Input'!F$58*0.01,0)</f>
        <v>0</v>
      </c>
      <c r="C323" s="10"/>
    </row>
    <row r="324" spans="1:3">
      <c r="A324" s="11" t="s">
        <v>210</v>
      </c>
      <c r="B324" s="6">
        <f>IF('Aggreg'!E229&gt;0,'Loads'!E284*'Input'!F$58*0.01,0)</f>
        <v>0</v>
      </c>
      <c r="C324" s="10"/>
    </row>
    <row r="325" spans="1:3">
      <c r="A325" s="11" t="s">
        <v>174</v>
      </c>
      <c r="B325" s="6">
        <f>IF('Aggreg'!E230&gt;0,'Loads'!E285*'Input'!F$58*0.01,0)</f>
        <v>0</v>
      </c>
      <c r="C325" s="10"/>
    </row>
    <row r="326" spans="1:3">
      <c r="A326" s="11" t="s">
        <v>175</v>
      </c>
      <c r="B326" s="6">
        <f>IF('Aggreg'!E231&gt;0,'Loads'!E286*'Input'!F$58*0.01,0)</f>
        <v>0</v>
      </c>
      <c r="C326" s="10"/>
    </row>
    <row r="327" spans="1:3">
      <c r="A327" s="11" t="s">
        <v>211</v>
      </c>
      <c r="B327" s="6">
        <f>IF('Aggreg'!E232&gt;0,'Loads'!E287*'Input'!F$58*0.01,0)</f>
        <v>0</v>
      </c>
      <c r="C327" s="10"/>
    </row>
    <row r="328" spans="1:3">
      <c r="A328" s="11" t="s">
        <v>176</v>
      </c>
      <c r="B328" s="6">
        <f>IF('Aggreg'!E233&gt;0,'Loads'!E288*'Input'!F$58*0.01,0)</f>
        <v>0</v>
      </c>
      <c r="C328" s="10"/>
    </row>
    <row r="329" spans="1:3">
      <c r="A329" s="11" t="s">
        <v>177</v>
      </c>
      <c r="B329" s="6">
        <f>IF('Aggreg'!E234&gt;0,'Loads'!E289*'Input'!F$58*0.01,0)</f>
        <v>0</v>
      </c>
      <c r="C329" s="10"/>
    </row>
    <row r="330" spans="1:3">
      <c r="A330" s="11" t="s">
        <v>191</v>
      </c>
      <c r="B330" s="6">
        <f>IF('Aggreg'!E235&gt;0,'Loads'!E290*'Input'!F$58*0.01,0)</f>
        <v>0</v>
      </c>
      <c r="C330" s="10"/>
    </row>
    <row r="331" spans="1:3">
      <c r="A331" s="11" t="s">
        <v>178</v>
      </c>
      <c r="B331" s="6">
        <f>IF('Aggreg'!E236&gt;0,'Loads'!E291*'Input'!F$58*0.01,0)</f>
        <v>0</v>
      </c>
      <c r="C331" s="10"/>
    </row>
    <row r="332" spans="1:3">
      <c r="A332" s="11" t="s">
        <v>179</v>
      </c>
      <c r="B332" s="6">
        <f>IF('Aggreg'!E237&gt;0,'Loads'!E292*'Input'!F$58*0.01,0)</f>
        <v>0</v>
      </c>
      <c r="C332" s="10"/>
    </row>
    <row r="333" spans="1:3">
      <c r="A333" s="11" t="s">
        <v>192</v>
      </c>
      <c r="B333" s="6">
        <f>IF('Aggreg'!E238&gt;0,'Loads'!E293*'Input'!F$58*0.01,0)</f>
        <v>0</v>
      </c>
      <c r="C333" s="10"/>
    </row>
    <row r="334" spans="1:3">
      <c r="A334" s="11" t="s">
        <v>212</v>
      </c>
      <c r="B334" s="6">
        <f>IF('Aggreg'!E239&gt;0,'Loads'!E294*'Input'!F$58*0.01,0)</f>
        <v>0</v>
      </c>
      <c r="C334" s="10"/>
    </row>
    <row r="335" spans="1:3">
      <c r="A335" s="11" t="s">
        <v>213</v>
      </c>
      <c r="B335" s="6">
        <f>IF('Aggreg'!E240&gt;0,'Loads'!E295*'Input'!F$58*0.01,0)</f>
        <v>0</v>
      </c>
      <c r="C335" s="10"/>
    </row>
    <row r="336" spans="1:3">
      <c r="A336" s="11" t="s">
        <v>214</v>
      </c>
      <c r="B336" s="6">
        <f>IF('Aggreg'!E241&gt;0,'Loads'!E296*'Input'!F$58*0.01,0)</f>
        <v>0</v>
      </c>
      <c r="C336" s="10"/>
    </row>
    <row r="337" spans="1:3">
      <c r="A337" s="11" t="s">
        <v>215</v>
      </c>
      <c r="B337" s="6">
        <f>IF('Aggreg'!E242&gt;0,'Loads'!E297*'Input'!F$58*0.01,0)</f>
        <v>0</v>
      </c>
      <c r="C337" s="10"/>
    </row>
    <row r="338" spans="1:3">
      <c r="A338" s="11" t="s">
        <v>216</v>
      </c>
      <c r="B338" s="6">
        <f>IF('Aggreg'!E243&gt;0,'Loads'!E298*'Input'!F$58*0.01,0)</f>
        <v>0</v>
      </c>
      <c r="C338" s="10"/>
    </row>
    <row r="339" spans="1:3">
      <c r="A339" s="11" t="s">
        <v>180</v>
      </c>
      <c r="B339" s="6">
        <f>IF('Aggreg'!E244&gt;0,'Loads'!E299*'Input'!F$58*0.01,0)</f>
        <v>0</v>
      </c>
      <c r="C339" s="10"/>
    </row>
    <row r="340" spans="1:3">
      <c r="A340" s="11" t="s">
        <v>181</v>
      </c>
      <c r="B340" s="6">
        <f>IF('Aggreg'!E245&gt;0,'Loads'!E300*'Input'!F$58*0.01,0)</f>
        <v>0</v>
      </c>
      <c r="C340" s="10"/>
    </row>
    <row r="341" spans="1:3">
      <c r="A341" s="11" t="s">
        <v>182</v>
      </c>
      <c r="B341" s="6">
        <f>IF('Aggreg'!E246&gt;0,'Loads'!E301*'Input'!F$58*0.01,0)</f>
        <v>0</v>
      </c>
      <c r="C341" s="10"/>
    </row>
    <row r="342" spans="1:3">
      <c r="A342" s="11" t="s">
        <v>183</v>
      </c>
      <c r="B342" s="6">
        <f>IF('Aggreg'!E247&gt;0,'Loads'!E302*'Input'!F$58*0.01,0)</f>
        <v>0</v>
      </c>
      <c r="C342" s="10"/>
    </row>
    <row r="343" spans="1:3">
      <c r="A343" s="11" t="s">
        <v>184</v>
      </c>
      <c r="B343" s="6">
        <f>IF('Aggreg'!E248&gt;0,'Loads'!E303*'Input'!F$58*0.01,0)</f>
        <v>0</v>
      </c>
      <c r="C343" s="10"/>
    </row>
    <row r="344" spans="1:3">
      <c r="A344" s="11" t="s">
        <v>185</v>
      </c>
      <c r="B344" s="6">
        <f>IF('Aggreg'!E249&gt;0,'Loads'!E304*'Input'!F$58*0.01,0)</f>
        <v>0</v>
      </c>
      <c r="C344" s="10"/>
    </row>
    <row r="345" spans="1:3">
      <c r="A345" s="11" t="s">
        <v>193</v>
      </c>
      <c r="B345" s="6">
        <f>IF('Aggreg'!E250&gt;0,'Loads'!E305*'Input'!F$58*0.01,0)</f>
        <v>0</v>
      </c>
      <c r="C345" s="10"/>
    </row>
    <row r="346" spans="1:3">
      <c r="A346" s="11" t="s">
        <v>194</v>
      </c>
      <c r="B346" s="6">
        <f>IF('Aggreg'!E251&gt;0,'Loads'!E306*'Input'!F$58*0.01,0)</f>
        <v>0</v>
      </c>
      <c r="C346" s="10"/>
    </row>
    <row r="348" spans="1:3">
      <c r="A348" s="1" t="s">
        <v>1267</v>
      </c>
    </row>
    <row r="349" spans="1:3">
      <c r="A349" s="2" t="s">
        <v>349</v>
      </c>
    </row>
    <row r="350" spans="1:3">
      <c r="A350" s="12" t="s">
        <v>1268</v>
      </c>
    </row>
    <row r="351" spans="1:3">
      <c r="A351" s="12" t="s">
        <v>1269</v>
      </c>
    </row>
    <row r="352" spans="1:3">
      <c r="A352" s="2" t="s">
        <v>1270</v>
      </c>
    </row>
    <row r="354" spans="1:3">
      <c r="B354" s="3" t="s">
        <v>1141</v>
      </c>
    </row>
    <row r="355" spans="1:3">
      <c r="A355" s="11" t="s">
        <v>1141</v>
      </c>
      <c r="B355" s="6">
        <f>C72/SUM($B$322:$B$346)</f>
        <v>0</v>
      </c>
      <c r="C355" s="10"/>
    </row>
    <row r="357" spans="1:3">
      <c r="A357" s="1" t="s">
        <v>1271</v>
      </c>
    </row>
    <row r="358" spans="1:3">
      <c r="A358" s="2" t="s">
        <v>349</v>
      </c>
    </row>
    <row r="359" spans="1:3">
      <c r="A359" s="12" t="s">
        <v>1272</v>
      </c>
    </row>
    <row r="360" spans="1:3">
      <c r="A360" s="12" t="s">
        <v>1273</v>
      </c>
    </row>
    <row r="361" spans="1:3">
      <c r="A361" s="2" t="s">
        <v>1274</v>
      </c>
    </row>
    <row r="363" spans="1:3">
      <c r="B363" s="3" t="s">
        <v>1148</v>
      </c>
    </row>
    <row r="364" spans="1:3">
      <c r="A364" s="11" t="s">
        <v>1148</v>
      </c>
      <c r="B364" s="6">
        <f>MIN(B355,$B$287:$B$311)</f>
        <v>0</v>
      </c>
      <c r="C364" s="10"/>
    </row>
    <row r="366" spans="1:3">
      <c r="A366" s="1" t="s">
        <v>1275</v>
      </c>
    </row>
    <row r="367" spans="1:3">
      <c r="A367" s="2" t="s">
        <v>349</v>
      </c>
    </row>
    <row r="368" spans="1:3">
      <c r="A368" s="12" t="s">
        <v>1276</v>
      </c>
    </row>
    <row r="369" spans="1:1">
      <c r="A369" s="12" t="s">
        <v>1273</v>
      </c>
    </row>
    <row r="370" spans="1:1">
      <c r="A370" s="12" t="s">
        <v>1277</v>
      </c>
    </row>
    <row r="371" spans="1:1">
      <c r="A371" s="12" t="s">
        <v>1278</v>
      </c>
    </row>
    <row r="372" spans="1:1">
      <c r="A372" s="12" t="s">
        <v>1279</v>
      </c>
    </row>
    <row r="373" spans="1:1">
      <c r="A373" s="12" t="s">
        <v>1280</v>
      </c>
    </row>
    <row r="374" spans="1:1">
      <c r="A374" s="12" t="s">
        <v>1281</v>
      </c>
    </row>
    <row r="375" spans="1:1">
      <c r="A375" s="12" t="s">
        <v>1282</v>
      </c>
    </row>
    <row r="376" spans="1:1">
      <c r="A376" s="12" t="s">
        <v>1283</v>
      </c>
    </row>
    <row r="377" spans="1:1">
      <c r="A377" s="12" t="s">
        <v>1284</v>
      </c>
    </row>
    <row r="378" spans="1:1">
      <c r="A378" s="12" t="s">
        <v>1285</v>
      </c>
    </row>
    <row r="379" spans="1:1">
      <c r="A379" s="12" t="s">
        <v>1286</v>
      </c>
    </row>
    <row r="380" spans="1:1">
      <c r="A380" s="12" t="s">
        <v>1287</v>
      </c>
    </row>
    <row r="381" spans="1:1">
      <c r="A381" s="12" t="s">
        <v>1288</v>
      </c>
    </row>
    <row r="382" spans="1:1">
      <c r="A382" s="12" t="s">
        <v>1289</v>
      </c>
    </row>
    <row r="383" spans="1:1">
      <c r="A383" s="12" t="s">
        <v>1290</v>
      </c>
    </row>
    <row r="384" spans="1:1">
      <c r="A384" s="12" t="s">
        <v>1291</v>
      </c>
    </row>
    <row r="385" spans="1:15">
      <c r="A385" s="26" t="s">
        <v>352</v>
      </c>
      <c r="B385" s="26" t="s">
        <v>420</v>
      </c>
      <c r="C385" s="26" t="s">
        <v>420</v>
      </c>
      <c r="D385" s="26" t="s">
        <v>420</v>
      </c>
      <c r="E385" s="26" t="s">
        <v>420</v>
      </c>
      <c r="F385" s="26" t="s">
        <v>420</v>
      </c>
      <c r="G385" s="26" t="s">
        <v>353</v>
      </c>
      <c r="H385" s="26" t="s">
        <v>482</v>
      </c>
      <c r="I385" s="26" t="s">
        <v>420</v>
      </c>
      <c r="J385" s="26" t="s">
        <v>420</v>
      </c>
      <c r="K385" s="26" t="s">
        <v>420</v>
      </c>
      <c r="L385" s="26" t="s">
        <v>420</v>
      </c>
      <c r="M385" s="26" t="s">
        <v>420</v>
      </c>
      <c r="N385" s="26" t="s">
        <v>420</v>
      </c>
    </row>
    <row r="386" spans="1:15">
      <c r="A386" s="26" t="s">
        <v>355</v>
      </c>
      <c r="B386" s="26" t="s">
        <v>420</v>
      </c>
      <c r="C386" s="26" t="s">
        <v>420</v>
      </c>
      <c r="D386" s="26" t="s">
        <v>420</v>
      </c>
      <c r="E386" s="26" t="s">
        <v>420</v>
      </c>
      <c r="F386" s="26" t="s">
        <v>420</v>
      </c>
      <c r="G386" s="26" t="s">
        <v>356</v>
      </c>
      <c r="H386" s="26" t="s">
        <v>1292</v>
      </c>
      <c r="I386" s="26" t="s">
        <v>420</v>
      </c>
      <c r="J386" s="26" t="s">
        <v>420</v>
      </c>
      <c r="K386" s="26" t="s">
        <v>420</v>
      </c>
      <c r="L386" s="26" t="s">
        <v>420</v>
      </c>
      <c r="M386" s="26" t="s">
        <v>420</v>
      </c>
      <c r="N386" s="26" t="s">
        <v>420</v>
      </c>
    </row>
    <row r="388" spans="1:15">
      <c r="B388" s="3" t="s">
        <v>1169</v>
      </c>
      <c r="C388" s="3" t="s">
        <v>1170</v>
      </c>
      <c r="D388" s="3" t="s">
        <v>1171</v>
      </c>
      <c r="E388" s="3" t="s">
        <v>1172</v>
      </c>
      <c r="F388" s="3" t="s">
        <v>1173</v>
      </c>
      <c r="G388" s="3" t="s">
        <v>1174</v>
      </c>
      <c r="H388" s="3" t="s">
        <v>1175</v>
      </c>
      <c r="I388" s="3" t="s">
        <v>1176</v>
      </c>
      <c r="J388" s="3" t="s">
        <v>1177</v>
      </c>
      <c r="K388" s="3" t="s">
        <v>1178</v>
      </c>
      <c r="L388" s="3" t="s">
        <v>1179</v>
      </c>
      <c r="M388" s="3" t="s">
        <v>10</v>
      </c>
      <c r="N388" s="3" t="s">
        <v>1180</v>
      </c>
    </row>
    <row r="389" spans="1:15">
      <c r="A389" s="11" t="s">
        <v>1148</v>
      </c>
      <c r="B389" s="6">
        <f>B364</f>
        <v>0</v>
      </c>
      <c r="C389" s="9"/>
      <c r="D389" s="9"/>
      <c r="E389" s="9"/>
      <c r="F389" s="9"/>
      <c r="G389" s="28">
        <v>0</v>
      </c>
      <c r="H389" s="17">
        <f>F389*25+G389</f>
        <v>0</v>
      </c>
      <c r="I389" s="9"/>
      <c r="J389" s="9"/>
      <c r="K389" s="6">
        <f>B389</f>
        <v>0</v>
      </c>
      <c r="L389" s="6">
        <f>SUM(D$389:D$413)</f>
        <v>0</v>
      </c>
      <c r="M389" s="6">
        <f>SUM($E$389:$E$413)-$C$72</f>
        <v>0</v>
      </c>
      <c r="N389" s="6">
        <f>IF(M$389&gt;0,K389,IF(M$414&gt;0,"",$B$355))</f>
        <v>0</v>
      </c>
      <c r="O389" s="10"/>
    </row>
    <row r="390" spans="1:15">
      <c r="A390" s="11" t="s">
        <v>1181</v>
      </c>
      <c r="B390" s="6">
        <f>B287</f>
        <v>0</v>
      </c>
      <c r="C390" s="6">
        <f>B322</f>
        <v>0</v>
      </c>
      <c r="D390" s="6">
        <f>IF(ISERROR(B390),C390,0)</f>
        <v>0</v>
      </c>
      <c r="E390" s="6">
        <f>MAX($B$364,B390)*C390</f>
        <v>0</v>
      </c>
      <c r="F390" s="17">
        <f>RANK(B390,B$390:B$414,1)</f>
        <v>0</v>
      </c>
      <c r="G390" s="28">
        <v>1</v>
      </c>
      <c r="H390" s="17">
        <f>F390*25+G390</f>
        <v>0</v>
      </c>
      <c r="I390" s="17">
        <f>RANK(H390,H$390:H$414,1)</f>
        <v>0</v>
      </c>
      <c r="J390" s="17">
        <f>MATCH(G390,I$390:I$414,0)</f>
        <v>0</v>
      </c>
      <c r="K390" s="6">
        <f>INDEX(B$390:B$414,J390,1)</f>
        <v>0</v>
      </c>
      <c r="L390" s="6">
        <f>L389+INDEX(C$390:C$414,J390,1)</f>
        <v>0</v>
      </c>
      <c r="M390" s="6">
        <f>M389+(K390-K389)*L389</f>
        <v>0</v>
      </c>
      <c r="N390" s="6">
        <f>IF((M389&gt;0)=(M390&gt;0),"",K390-M390/L389)</f>
        <v>0</v>
      </c>
      <c r="O390" s="10"/>
    </row>
    <row r="391" spans="1:15">
      <c r="A391" s="11" t="s">
        <v>1182</v>
      </c>
      <c r="B391" s="6">
        <f>B288</f>
        <v>0</v>
      </c>
      <c r="C391" s="6">
        <f>B323</f>
        <v>0</v>
      </c>
      <c r="D391" s="6">
        <f>IF(ISERROR(B391),C391,0)</f>
        <v>0</v>
      </c>
      <c r="E391" s="6">
        <f>MAX($B$364,B391)*C391</f>
        <v>0</v>
      </c>
      <c r="F391" s="17">
        <f>RANK(B391,B$390:B$414,1)</f>
        <v>0</v>
      </c>
      <c r="G391" s="28">
        <v>2</v>
      </c>
      <c r="H391" s="17">
        <f>F391*25+G391</f>
        <v>0</v>
      </c>
      <c r="I391" s="17">
        <f>RANK(H391,H$390:H$414,1)</f>
        <v>0</v>
      </c>
      <c r="J391" s="17">
        <f>MATCH(G391,I$390:I$414,0)</f>
        <v>0</v>
      </c>
      <c r="K391" s="6">
        <f>INDEX(B$390:B$414,J391,1)</f>
        <v>0</v>
      </c>
      <c r="L391" s="6">
        <f>L390+INDEX(C$390:C$414,J391,1)</f>
        <v>0</v>
      </c>
      <c r="M391" s="6">
        <f>M390+(K391-K390)*L390</f>
        <v>0</v>
      </c>
      <c r="N391" s="6">
        <f>IF((M390&gt;0)=(M391&gt;0),"",K391-M391/L390)</f>
        <v>0</v>
      </c>
      <c r="O391" s="10"/>
    </row>
    <row r="392" spans="1:15">
      <c r="A392" s="11" t="s">
        <v>1183</v>
      </c>
      <c r="B392" s="6">
        <f>B289</f>
        <v>0</v>
      </c>
      <c r="C392" s="6">
        <f>B324</f>
        <v>0</v>
      </c>
      <c r="D392" s="6">
        <f>IF(ISERROR(B392),C392,0)</f>
        <v>0</v>
      </c>
      <c r="E392" s="6">
        <f>MAX($B$364,B392)*C392</f>
        <v>0</v>
      </c>
      <c r="F392" s="17">
        <f>RANK(B392,B$390:B$414,1)</f>
        <v>0</v>
      </c>
      <c r="G392" s="28">
        <v>3</v>
      </c>
      <c r="H392" s="17">
        <f>F392*25+G392</f>
        <v>0</v>
      </c>
      <c r="I392" s="17">
        <f>RANK(H392,H$390:H$414,1)</f>
        <v>0</v>
      </c>
      <c r="J392" s="17">
        <f>MATCH(G392,I$390:I$414,0)</f>
        <v>0</v>
      </c>
      <c r="K392" s="6">
        <f>INDEX(B$390:B$414,J392,1)</f>
        <v>0</v>
      </c>
      <c r="L392" s="6">
        <f>L391+INDEX(C$390:C$414,J392,1)</f>
        <v>0</v>
      </c>
      <c r="M392" s="6">
        <f>M391+(K392-K391)*L391</f>
        <v>0</v>
      </c>
      <c r="N392" s="6">
        <f>IF((M391&gt;0)=(M392&gt;0),"",K392-M392/L391)</f>
        <v>0</v>
      </c>
      <c r="O392" s="10"/>
    </row>
    <row r="393" spans="1:15">
      <c r="A393" s="11" t="s">
        <v>1184</v>
      </c>
      <c r="B393" s="6">
        <f>B290</f>
        <v>0</v>
      </c>
      <c r="C393" s="6">
        <f>B325</f>
        <v>0</v>
      </c>
      <c r="D393" s="6">
        <f>IF(ISERROR(B393),C393,0)</f>
        <v>0</v>
      </c>
      <c r="E393" s="6">
        <f>MAX($B$364,B393)*C393</f>
        <v>0</v>
      </c>
      <c r="F393" s="17">
        <f>RANK(B393,B$390:B$414,1)</f>
        <v>0</v>
      </c>
      <c r="G393" s="28">
        <v>4</v>
      </c>
      <c r="H393" s="17">
        <f>F393*25+G393</f>
        <v>0</v>
      </c>
      <c r="I393" s="17">
        <f>RANK(H393,H$390:H$414,1)</f>
        <v>0</v>
      </c>
      <c r="J393" s="17">
        <f>MATCH(G393,I$390:I$414,0)</f>
        <v>0</v>
      </c>
      <c r="K393" s="6">
        <f>INDEX(B$390:B$414,J393,1)</f>
        <v>0</v>
      </c>
      <c r="L393" s="6">
        <f>L392+INDEX(C$390:C$414,J393,1)</f>
        <v>0</v>
      </c>
      <c r="M393" s="6">
        <f>M392+(K393-K392)*L392</f>
        <v>0</v>
      </c>
      <c r="N393" s="6">
        <f>IF((M392&gt;0)=(M393&gt;0),"",K393-M393/L392)</f>
        <v>0</v>
      </c>
      <c r="O393" s="10"/>
    </row>
    <row r="394" spans="1:15">
      <c r="A394" s="11" t="s">
        <v>1185</v>
      </c>
      <c r="B394" s="6">
        <f>B291</f>
        <v>0</v>
      </c>
      <c r="C394" s="6">
        <f>B326</f>
        <v>0</v>
      </c>
      <c r="D394" s="6">
        <f>IF(ISERROR(B394),C394,0)</f>
        <v>0</v>
      </c>
      <c r="E394" s="6">
        <f>MAX($B$364,B394)*C394</f>
        <v>0</v>
      </c>
      <c r="F394" s="17">
        <f>RANK(B394,B$390:B$414,1)</f>
        <v>0</v>
      </c>
      <c r="G394" s="28">
        <v>5</v>
      </c>
      <c r="H394" s="17">
        <f>F394*25+G394</f>
        <v>0</v>
      </c>
      <c r="I394" s="17">
        <f>RANK(H394,H$390:H$414,1)</f>
        <v>0</v>
      </c>
      <c r="J394" s="17">
        <f>MATCH(G394,I$390:I$414,0)</f>
        <v>0</v>
      </c>
      <c r="K394" s="6">
        <f>INDEX(B$390:B$414,J394,1)</f>
        <v>0</v>
      </c>
      <c r="L394" s="6">
        <f>L393+INDEX(C$390:C$414,J394,1)</f>
        <v>0</v>
      </c>
      <c r="M394" s="6">
        <f>M393+(K394-K393)*L393</f>
        <v>0</v>
      </c>
      <c r="N394" s="6">
        <f>IF((M393&gt;0)=(M394&gt;0),"",K394-M394/L393)</f>
        <v>0</v>
      </c>
      <c r="O394" s="10"/>
    </row>
    <row r="395" spans="1:15">
      <c r="A395" s="11" t="s">
        <v>1186</v>
      </c>
      <c r="B395" s="6">
        <f>B292</f>
        <v>0</v>
      </c>
      <c r="C395" s="6">
        <f>B327</f>
        <v>0</v>
      </c>
      <c r="D395" s="6">
        <f>IF(ISERROR(B395),C395,0)</f>
        <v>0</v>
      </c>
      <c r="E395" s="6">
        <f>MAX($B$364,B395)*C395</f>
        <v>0</v>
      </c>
      <c r="F395" s="17">
        <f>RANK(B395,B$390:B$414,1)</f>
        <v>0</v>
      </c>
      <c r="G395" s="28">
        <v>6</v>
      </c>
      <c r="H395" s="17">
        <f>F395*25+G395</f>
        <v>0</v>
      </c>
      <c r="I395" s="17">
        <f>RANK(H395,H$390:H$414,1)</f>
        <v>0</v>
      </c>
      <c r="J395" s="17">
        <f>MATCH(G395,I$390:I$414,0)</f>
        <v>0</v>
      </c>
      <c r="K395" s="6">
        <f>INDEX(B$390:B$414,J395,1)</f>
        <v>0</v>
      </c>
      <c r="L395" s="6">
        <f>L394+INDEX(C$390:C$414,J395,1)</f>
        <v>0</v>
      </c>
      <c r="M395" s="6">
        <f>M394+(K395-K394)*L394</f>
        <v>0</v>
      </c>
      <c r="N395" s="6">
        <f>IF((M394&gt;0)=(M395&gt;0),"",K395-M395/L394)</f>
        <v>0</v>
      </c>
      <c r="O395" s="10"/>
    </row>
    <row r="396" spans="1:15">
      <c r="A396" s="11" t="s">
        <v>1187</v>
      </c>
      <c r="B396" s="6">
        <f>B293</f>
        <v>0</v>
      </c>
      <c r="C396" s="6">
        <f>B328</f>
        <v>0</v>
      </c>
      <c r="D396" s="6">
        <f>IF(ISERROR(B396),C396,0)</f>
        <v>0</v>
      </c>
      <c r="E396" s="6">
        <f>MAX($B$364,B396)*C396</f>
        <v>0</v>
      </c>
      <c r="F396" s="17">
        <f>RANK(B396,B$390:B$414,1)</f>
        <v>0</v>
      </c>
      <c r="G396" s="28">
        <v>7</v>
      </c>
      <c r="H396" s="17">
        <f>F396*25+G396</f>
        <v>0</v>
      </c>
      <c r="I396" s="17">
        <f>RANK(H396,H$390:H$414,1)</f>
        <v>0</v>
      </c>
      <c r="J396" s="17">
        <f>MATCH(G396,I$390:I$414,0)</f>
        <v>0</v>
      </c>
      <c r="K396" s="6">
        <f>INDEX(B$390:B$414,J396,1)</f>
        <v>0</v>
      </c>
      <c r="L396" s="6">
        <f>L395+INDEX(C$390:C$414,J396,1)</f>
        <v>0</v>
      </c>
      <c r="M396" s="6">
        <f>M395+(K396-K395)*L395</f>
        <v>0</v>
      </c>
      <c r="N396" s="6">
        <f>IF((M395&gt;0)=(M396&gt;0),"",K396-M396/L395)</f>
        <v>0</v>
      </c>
      <c r="O396" s="10"/>
    </row>
    <row r="397" spans="1:15">
      <c r="A397" s="11" t="s">
        <v>1188</v>
      </c>
      <c r="B397" s="6">
        <f>B294</f>
        <v>0</v>
      </c>
      <c r="C397" s="6">
        <f>B329</f>
        <v>0</v>
      </c>
      <c r="D397" s="6">
        <f>IF(ISERROR(B397),C397,0)</f>
        <v>0</v>
      </c>
      <c r="E397" s="6">
        <f>MAX($B$364,B397)*C397</f>
        <v>0</v>
      </c>
      <c r="F397" s="17">
        <f>RANK(B397,B$390:B$414,1)</f>
        <v>0</v>
      </c>
      <c r="G397" s="28">
        <v>8</v>
      </c>
      <c r="H397" s="17">
        <f>F397*25+G397</f>
        <v>0</v>
      </c>
      <c r="I397" s="17">
        <f>RANK(H397,H$390:H$414,1)</f>
        <v>0</v>
      </c>
      <c r="J397" s="17">
        <f>MATCH(G397,I$390:I$414,0)</f>
        <v>0</v>
      </c>
      <c r="K397" s="6">
        <f>INDEX(B$390:B$414,J397,1)</f>
        <v>0</v>
      </c>
      <c r="L397" s="6">
        <f>L396+INDEX(C$390:C$414,J397,1)</f>
        <v>0</v>
      </c>
      <c r="M397" s="6">
        <f>M396+(K397-K396)*L396</f>
        <v>0</v>
      </c>
      <c r="N397" s="6">
        <f>IF((M396&gt;0)=(M397&gt;0),"",K397-M397/L396)</f>
        <v>0</v>
      </c>
      <c r="O397" s="10"/>
    </row>
    <row r="398" spans="1:15">
      <c r="A398" s="11" t="s">
        <v>1189</v>
      </c>
      <c r="B398" s="6">
        <f>B295</f>
        <v>0</v>
      </c>
      <c r="C398" s="6">
        <f>B330</f>
        <v>0</v>
      </c>
      <c r="D398" s="6">
        <f>IF(ISERROR(B398),C398,0)</f>
        <v>0</v>
      </c>
      <c r="E398" s="6">
        <f>MAX($B$364,B398)*C398</f>
        <v>0</v>
      </c>
      <c r="F398" s="17">
        <f>RANK(B398,B$390:B$414,1)</f>
        <v>0</v>
      </c>
      <c r="G398" s="28">
        <v>9</v>
      </c>
      <c r="H398" s="17">
        <f>F398*25+G398</f>
        <v>0</v>
      </c>
      <c r="I398" s="17">
        <f>RANK(H398,H$390:H$414,1)</f>
        <v>0</v>
      </c>
      <c r="J398" s="17">
        <f>MATCH(G398,I$390:I$414,0)</f>
        <v>0</v>
      </c>
      <c r="K398" s="6">
        <f>INDEX(B$390:B$414,J398,1)</f>
        <v>0</v>
      </c>
      <c r="L398" s="6">
        <f>L397+INDEX(C$390:C$414,J398,1)</f>
        <v>0</v>
      </c>
      <c r="M398" s="6">
        <f>M397+(K398-K397)*L397</f>
        <v>0</v>
      </c>
      <c r="N398" s="6">
        <f>IF((M397&gt;0)=(M398&gt;0),"",K398-M398/L397)</f>
        <v>0</v>
      </c>
      <c r="O398" s="10"/>
    </row>
    <row r="399" spans="1:15">
      <c r="A399" s="11" t="s">
        <v>1190</v>
      </c>
      <c r="B399" s="6">
        <f>B296</f>
        <v>0</v>
      </c>
      <c r="C399" s="6">
        <f>B331</f>
        <v>0</v>
      </c>
      <c r="D399" s="6">
        <f>IF(ISERROR(B399),C399,0)</f>
        <v>0</v>
      </c>
      <c r="E399" s="6">
        <f>MAX($B$364,B399)*C399</f>
        <v>0</v>
      </c>
      <c r="F399" s="17">
        <f>RANK(B399,B$390:B$414,1)</f>
        <v>0</v>
      </c>
      <c r="G399" s="28">
        <v>10</v>
      </c>
      <c r="H399" s="17">
        <f>F399*25+G399</f>
        <v>0</v>
      </c>
      <c r="I399" s="17">
        <f>RANK(H399,H$390:H$414,1)</f>
        <v>0</v>
      </c>
      <c r="J399" s="17">
        <f>MATCH(G399,I$390:I$414,0)</f>
        <v>0</v>
      </c>
      <c r="K399" s="6">
        <f>INDEX(B$390:B$414,J399,1)</f>
        <v>0</v>
      </c>
      <c r="L399" s="6">
        <f>L398+INDEX(C$390:C$414,J399,1)</f>
        <v>0</v>
      </c>
      <c r="M399" s="6">
        <f>M398+(K399-K398)*L398</f>
        <v>0</v>
      </c>
      <c r="N399" s="6">
        <f>IF((M398&gt;0)=(M399&gt;0),"",K399-M399/L398)</f>
        <v>0</v>
      </c>
      <c r="O399" s="10"/>
    </row>
    <row r="400" spans="1:15">
      <c r="A400" s="11" t="s">
        <v>1191</v>
      </c>
      <c r="B400" s="6">
        <f>B297</f>
        <v>0</v>
      </c>
      <c r="C400" s="6">
        <f>B332</f>
        <v>0</v>
      </c>
      <c r="D400" s="6">
        <f>IF(ISERROR(B400),C400,0)</f>
        <v>0</v>
      </c>
      <c r="E400" s="6">
        <f>MAX($B$364,B400)*C400</f>
        <v>0</v>
      </c>
      <c r="F400" s="17">
        <f>RANK(B400,B$390:B$414,1)</f>
        <v>0</v>
      </c>
      <c r="G400" s="28">
        <v>11</v>
      </c>
      <c r="H400" s="17">
        <f>F400*25+G400</f>
        <v>0</v>
      </c>
      <c r="I400" s="17">
        <f>RANK(H400,H$390:H$414,1)</f>
        <v>0</v>
      </c>
      <c r="J400" s="17">
        <f>MATCH(G400,I$390:I$414,0)</f>
        <v>0</v>
      </c>
      <c r="K400" s="6">
        <f>INDEX(B$390:B$414,J400,1)</f>
        <v>0</v>
      </c>
      <c r="L400" s="6">
        <f>L399+INDEX(C$390:C$414,J400,1)</f>
        <v>0</v>
      </c>
      <c r="M400" s="6">
        <f>M399+(K400-K399)*L399</f>
        <v>0</v>
      </c>
      <c r="N400" s="6">
        <f>IF((M399&gt;0)=(M400&gt;0),"",K400-M400/L399)</f>
        <v>0</v>
      </c>
      <c r="O400" s="10"/>
    </row>
    <row r="401" spans="1:15">
      <c r="A401" s="11" t="s">
        <v>1192</v>
      </c>
      <c r="B401" s="6">
        <f>B298</f>
        <v>0</v>
      </c>
      <c r="C401" s="6">
        <f>B333</f>
        <v>0</v>
      </c>
      <c r="D401" s="6">
        <f>IF(ISERROR(B401),C401,0)</f>
        <v>0</v>
      </c>
      <c r="E401" s="6">
        <f>MAX($B$364,B401)*C401</f>
        <v>0</v>
      </c>
      <c r="F401" s="17">
        <f>RANK(B401,B$390:B$414,1)</f>
        <v>0</v>
      </c>
      <c r="G401" s="28">
        <v>12</v>
      </c>
      <c r="H401" s="17">
        <f>F401*25+G401</f>
        <v>0</v>
      </c>
      <c r="I401" s="17">
        <f>RANK(H401,H$390:H$414,1)</f>
        <v>0</v>
      </c>
      <c r="J401" s="17">
        <f>MATCH(G401,I$390:I$414,0)</f>
        <v>0</v>
      </c>
      <c r="K401" s="6">
        <f>INDEX(B$390:B$414,J401,1)</f>
        <v>0</v>
      </c>
      <c r="L401" s="6">
        <f>L400+INDEX(C$390:C$414,J401,1)</f>
        <v>0</v>
      </c>
      <c r="M401" s="6">
        <f>M400+(K401-K400)*L400</f>
        <v>0</v>
      </c>
      <c r="N401" s="6">
        <f>IF((M400&gt;0)=(M401&gt;0),"",K401-M401/L400)</f>
        <v>0</v>
      </c>
      <c r="O401" s="10"/>
    </row>
    <row r="402" spans="1:15">
      <c r="A402" s="11" t="s">
        <v>1193</v>
      </c>
      <c r="B402" s="6">
        <f>B299</f>
        <v>0</v>
      </c>
      <c r="C402" s="6">
        <f>B334</f>
        <v>0</v>
      </c>
      <c r="D402" s="6">
        <f>IF(ISERROR(B402),C402,0)</f>
        <v>0</v>
      </c>
      <c r="E402" s="6">
        <f>MAX($B$364,B402)*C402</f>
        <v>0</v>
      </c>
      <c r="F402" s="17">
        <f>RANK(B402,B$390:B$414,1)</f>
        <v>0</v>
      </c>
      <c r="G402" s="28">
        <v>13</v>
      </c>
      <c r="H402" s="17">
        <f>F402*25+G402</f>
        <v>0</v>
      </c>
      <c r="I402" s="17">
        <f>RANK(H402,H$390:H$414,1)</f>
        <v>0</v>
      </c>
      <c r="J402" s="17">
        <f>MATCH(G402,I$390:I$414,0)</f>
        <v>0</v>
      </c>
      <c r="K402" s="6">
        <f>INDEX(B$390:B$414,J402,1)</f>
        <v>0</v>
      </c>
      <c r="L402" s="6">
        <f>L401+INDEX(C$390:C$414,J402,1)</f>
        <v>0</v>
      </c>
      <c r="M402" s="6">
        <f>M401+(K402-K401)*L401</f>
        <v>0</v>
      </c>
      <c r="N402" s="6">
        <f>IF((M401&gt;0)=(M402&gt;0),"",K402-M402/L401)</f>
        <v>0</v>
      </c>
      <c r="O402" s="10"/>
    </row>
    <row r="403" spans="1:15">
      <c r="A403" s="11" t="s">
        <v>1194</v>
      </c>
      <c r="B403" s="6">
        <f>B300</f>
        <v>0</v>
      </c>
      <c r="C403" s="6">
        <f>B335</f>
        <v>0</v>
      </c>
      <c r="D403" s="6">
        <f>IF(ISERROR(B403),C403,0)</f>
        <v>0</v>
      </c>
      <c r="E403" s="6">
        <f>MAX($B$364,B403)*C403</f>
        <v>0</v>
      </c>
      <c r="F403" s="17">
        <f>RANK(B403,B$390:B$414,1)</f>
        <v>0</v>
      </c>
      <c r="G403" s="28">
        <v>14</v>
      </c>
      <c r="H403" s="17">
        <f>F403*25+G403</f>
        <v>0</v>
      </c>
      <c r="I403" s="17">
        <f>RANK(H403,H$390:H$414,1)</f>
        <v>0</v>
      </c>
      <c r="J403" s="17">
        <f>MATCH(G403,I$390:I$414,0)</f>
        <v>0</v>
      </c>
      <c r="K403" s="6">
        <f>INDEX(B$390:B$414,J403,1)</f>
        <v>0</v>
      </c>
      <c r="L403" s="6">
        <f>L402+INDEX(C$390:C$414,J403,1)</f>
        <v>0</v>
      </c>
      <c r="M403" s="6">
        <f>M402+(K403-K402)*L402</f>
        <v>0</v>
      </c>
      <c r="N403" s="6">
        <f>IF((M402&gt;0)=(M403&gt;0),"",K403-M403/L402)</f>
        <v>0</v>
      </c>
      <c r="O403" s="10"/>
    </row>
    <row r="404" spans="1:15">
      <c r="A404" s="11" t="s">
        <v>1195</v>
      </c>
      <c r="B404" s="6">
        <f>B301</f>
        <v>0</v>
      </c>
      <c r="C404" s="6">
        <f>B336</f>
        <v>0</v>
      </c>
      <c r="D404" s="6">
        <f>IF(ISERROR(B404),C404,0)</f>
        <v>0</v>
      </c>
      <c r="E404" s="6">
        <f>MAX($B$364,B404)*C404</f>
        <v>0</v>
      </c>
      <c r="F404" s="17">
        <f>RANK(B404,B$390:B$414,1)</f>
        <v>0</v>
      </c>
      <c r="G404" s="28">
        <v>15</v>
      </c>
      <c r="H404" s="17">
        <f>F404*25+G404</f>
        <v>0</v>
      </c>
      <c r="I404" s="17">
        <f>RANK(H404,H$390:H$414,1)</f>
        <v>0</v>
      </c>
      <c r="J404" s="17">
        <f>MATCH(G404,I$390:I$414,0)</f>
        <v>0</v>
      </c>
      <c r="K404" s="6">
        <f>INDEX(B$390:B$414,J404,1)</f>
        <v>0</v>
      </c>
      <c r="L404" s="6">
        <f>L403+INDEX(C$390:C$414,J404,1)</f>
        <v>0</v>
      </c>
      <c r="M404" s="6">
        <f>M403+(K404-K403)*L403</f>
        <v>0</v>
      </c>
      <c r="N404" s="6">
        <f>IF((M403&gt;0)=(M404&gt;0),"",K404-M404/L403)</f>
        <v>0</v>
      </c>
      <c r="O404" s="10"/>
    </row>
    <row r="405" spans="1:15">
      <c r="A405" s="11" t="s">
        <v>1196</v>
      </c>
      <c r="B405" s="6">
        <f>B302</f>
        <v>0</v>
      </c>
      <c r="C405" s="6">
        <f>B337</f>
        <v>0</v>
      </c>
      <c r="D405" s="6">
        <f>IF(ISERROR(B405),C405,0)</f>
        <v>0</v>
      </c>
      <c r="E405" s="6">
        <f>MAX($B$364,B405)*C405</f>
        <v>0</v>
      </c>
      <c r="F405" s="17">
        <f>RANK(B405,B$390:B$414,1)</f>
        <v>0</v>
      </c>
      <c r="G405" s="28">
        <v>16</v>
      </c>
      <c r="H405" s="17">
        <f>F405*25+G405</f>
        <v>0</v>
      </c>
      <c r="I405" s="17">
        <f>RANK(H405,H$390:H$414,1)</f>
        <v>0</v>
      </c>
      <c r="J405" s="17">
        <f>MATCH(G405,I$390:I$414,0)</f>
        <v>0</v>
      </c>
      <c r="K405" s="6">
        <f>INDEX(B$390:B$414,J405,1)</f>
        <v>0</v>
      </c>
      <c r="L405" s="6">
        <f>L404+INDEX(C$390:C$414,J405,1)</f>
        <v>0</v>
      </c>
      <c r="M405" s="6">
        <f>M404+(K405-K404)*L404</f>
        <v>0</v>
      </c>
      <c r="N405" s="6">
        <f>IF((M404&gt;0)=(M405&gt;0),"",K405-M405/L404)</f>
        <v>0</v>
      </c>
      <c r="O405" s="10"/>
    </row>
    <row r="406" spans="1:15">
      <c r="A406" s="11" t="s">
        <v>1197</v>
      </c>
      <c r="B406" s="6">
        <f>B303</f>
        <v>0</v>
      </c>
      <c r="C406" s="6">
        <f>B338</f>
        <v>0</v>
      </c>
      <c r="D406" s="6">
        <f>IF(ISERROR(B406),C406,0)</f>
        <v>0</v>
      </c>
      <c r="E406" s="6">
        <f>MAX($B$364,B406)*C406</f>
        <v>0</v>
      </c>
      <c r="F406" s="17">
        <f>RANK(B406,B$390:B$414,1)</f>
        <v>0</v>
      </c>
      <c r="G406" s="28">
        <v>17</v>
      </c>
      <c r="H406" s="17">
        <f>F406*25+G406</f>
        <v>0</v>
      </c>
      <c r="I406" s="17">
        <f>RANK(H406,H$390:H$414,1)</f>
        <v>0</v>
      </c>
      <c r="J406" s="17">
        <f>MATCH(G406,I$390:I$414,0)</f>
        <v>0</v>
      </c>
      <c r="K406" s="6">
        <f>INDEX(B$390:B$414,J406,1)</f>
        <v>0</v>
      </c>
      <c r="L406" s="6">
        <f>L405+INDEX(C$390:C$414,J406,1)</f>
        <v>0</v>
      </c>
      <c r="M406" s="6">
        <f>M405+(K406-K405)*L405</f>
        <v>0</v>
      </c>
      <c r="N406" s="6">
        <f>IF((M405&gt;0)=(M406&gt;0),"",K406-M406/L405)</f>
        <v>0</v>
      </c>
      <c r="O406" s="10"/>
    </row>
    <row r="407" spans="1:15">
      <c r="A407" s="11" t="s">
        <v>1198</v>
      </c>
      <c r="B407" s="6">
        <f>B304</f>
        <v>0</v>
      </c>
      <c r="C407" s="6">
        <f>B339</f>
        <v>0</v>
      </c>
      <c r="D407" s="6">
        <f>IF(ISERROR(B407),C407,0)</f>
        <v>0</v>
      </c>
      <c r="E407" s="6">
        <f>MAX($B$364,B407)*C407</f>
        <v>0</v>
      </c>
      <c r="F407" s="17">
        <f>RANK(B407,B$390:B$414,1)</f>
        <v>0</v>
      </c>
      <c r="G407" s="28">
        <v>18</v>
      </c>
      <c r="H407" s="17">
        <f>F407*25+G407</f>
        <v>0</v>
      </c>
      <c r="I407" s="17">
        <f>RANK(H407,H$390:H$414,1)</f>
        <v>0</v>
      </c>
      <c r="J407" s="17">
        <f>MATCH(G407,I$390:I$414,0)</f>
        <v>0</v>
      </c>
      <c r="K407" s="6">
        <f>INDEX(B$390:B$414,J407,1)</f>
        <v>0</v>
      </c>
      <c r="L407" s="6">
        <f>L406+INDEX(C$390:C$414,J407,1)</f>
        <v>0</v>
      </c>
      <c r="M407" s="6">
        <f>M406+(K407-K406)*L406</f>
        <v>0</v>
      </c>
      <c r="N407" s="6">
        <f>IF((M406&gt;0)=(M407&gt;0),"",K407-M407/L406)</f>
        <v>0</v>
      </c>
      <c r="O407" s="10"/>
    </row>
    <row r="408" spans="1:15">
      <c r="A408" s="11" t="s">
        <v>1199</v>
      </c>
      <c r="B408" s="6">
        <f>B305</f>
        <v>0</v>
      </c>
      <c r="C408" s="6">
        <f>B340</f>
        <v>0</v>
      </c>
      <c r="D408" s="6">
        <f>IF(ISERROR(B408),C408,0)</f>
        <v>0</v>
      </c>
      <c r="E408" s="6">
        <f>MAX($B$364,B408)*C408</f>
        <v>0</v>
      </c>
      <c r="F408" s="17">
        <f>RANK(B408,B$390:B$414,1)</f>
        <v>0</v>
      </c>
      <c r="G408" s="28">
        <v>19</v>
      </c>
      <c r="H408" s="17">
        <f>F408*25+G408</f>
        <v>0</v>
      </c>
      <c r="I408" s="17">
        <f>RANK(H408,H$390:H$414,1)</f>
        <v>0</v>
      </c>
      <c r="J408" s="17">
        <f>MATCH(G408,I$390:I$414,0)</f>
        <v>0</v>
      </c>
      <c r="K408" s="6">
        <f>INDEX(B$390:B$414,J408,1)</f>
        <v>0</v>
      </c>
      <c r="L408" s="6">
        <f>L407+INDEX(C$390:C$414,J408,1)</f>
        <v>0</v>
      </c>
      <c r="M408" s="6">
        <f>M407+(K408-K407)*L407</f>
        <v>0</v>
      </c>
      <c r="N408" s="6">
        <f>IF((M407&gt;0)=(M408&gt;0),"",K408-M408/L407)</f>
        <v>0</v>
      </c>
      <c r="O408" s="10"/>
    </row>
    <row r="409" spans="1:15">
      <c r="A409" s="11" t="s">
        <v>1200</v>
      </c>
      <c r="B409" s="6">
        <f>B306</f>
        <v>0</v>
      </c>
      <c r="C409" s="6">
        <f>B341</f>
        <v>0</v>
      </c>
      <c r="D409" s="6">
        <f>IF(ISERROR(B409),C409,0)</f>
        <v>0</v>
      </c>
      <c r="E409" s="6">
        <f>MAX($B$364,B409)*C409</f>
        <v>0</v>
      </c>
      <c r="F409" s="17">
        <f>RANK(B409,B$390:B$414,1)</f>
        <v>0</v>
      </c>
      <c r="G409" s="28">
        <v>20</v>
      </c>
      <c r="H409" s="17">
        <f>F409*25+G409</f>
        <v>0</v>
      </c>
      <c r="I409" s="17">
        <f>RANK(H409,H$390:H$414,1)</f>
        <v>0</v>
      </c>
      <c r="J409" s="17">
        <f>MATCH(G409,I$390:I$414,0)</f>
        <v>0</v>
      </c>
      <c r="K409" s="6">
        <f>INDEX(B$390:B$414,J409,1)</f>
        <v>0</v>
      </c>
      <c r="L409" s="6">
        <f>L408+INDEX(C$390:C$414,J409,1)</f>
        <v>0</v>
      </c>
      <c r="M409" s="6">
        <f>M408+(K409-K408)*L408</f>
        <v>0</v>
      </c>
      <c r="N409" s="6">
        <f>IF((M408&gt;0)=(M409&gt;0),"",K409-M409/L408)</f>
        <v>0</v>
      </c>
      <c r="O409" s="10"/>
    </row>
    <row r="410" spans="1:15">
      <c r="A410" s="11" t="s">
        <v>1201</v>
      </c>
      <c r="B410" s="6">
        <f>B307</f>
        <v>0</v>
      </c>
      <c r="C410" s="6">
        <f>B342</f>
        <v>0</v>
      </c>
      <c r="D410" s="6">
        <f>IF(ISERROR(B410),C410,0)</f>
        <v>0</v>
      </c>
      <c r="E410" s="6">
        <f>MAX($B$364,B410)*C410</f>
        <v>0</v>
      </c>
      <c r="F410" s="17">
        <f>RANK(B410,B$390:B$414,1)</f>
        <v>0</v>
      </c>
      <c r="G410" s="28">
        <v>21</v>
      </c>
      <c r="H410" s="17">
        <f>F410*25+G410</f>
        <v>0</v>
      </c>
      <c r="I410" s="17">
        <f>RANK(H410,H$390:H$414,1)</f>
        <v>0</v>
      </c>
      <c r="J410" s="17">
        <f>MATCH(G410,I$390:I$414,0)</f>
        <v>0</v>
      </c>
      <c r="K410" s="6">
        <f>INDEX(B$390:B$414,J410,1)</f>
        <v>0</v>
      </c>
      <c r="L410" s="6">
        <f>L409+INDEX(C$390:C$414,J410,1)</f>
        <v>0</v>
      </c>
      <c r="M410" s="6">
        <f>M409+(K410-K409)*L409</f>
        <v>0</v>
      </c>
      <c r="N410" s="6">
        <f>IF((M409&gt;0)=(M410&gt;0),"",K410-M410/L409)</f>
        <v>0</v>
      </c>
      <c r="O410" s="10"/>
    </row>
    <row r="411" spans="1:15">
      <c r="A411" s="11" t="s">
        <v>1202</v>
      </c>
      <c r="B411" s="6">
        <f>B308</f>
        <v>0</v>
      </c>
      <c r="C411" s="6">
        <f>B343</f>
        <v>0</v>
      </c>
      <c r="D411" s="6">
        <f>IF(ISERROR(B411),C411,0)</f>
        <v>0</v>
      </c>
      <c r="E411" s="6">
        <f>MAX($B$364,B411)*C411</f>
        <v>0</v>
      </c>
      <c r="F411" s="17">
        <f>RANK(B411,B$390:B$414,1)</f>
        <v>0</v>
      </c>
      <c r="G411" s="28">
        <v>22</v>
      </c>
      <c r="H411" s="17">
        <f>F411*25+G411</f>
        <v>0</v>
      </c>
      <c r="I411" s="17">
        <f>RANK(H411,H$390:H$414,1)</f>
        <v>0</v>
      </c>
      <c r="J411" s="17">
        <f>MATCH(G411,I$390:I$414,0)</f>
        <v>0</v>
      </c>
      <c r="K411" s="6">
        <f>INDEX(B$390:B$414,J411,1)</f>
        <v>0</v>
      </c>
      <c r="L411" s="6">
        <f>L410+INDEX(C$390:C$414,J411,1)</f>
        <v>0</v>
      </c>
      <c r="M411" s="6">
        <f>M410+(K411-K410)*L410</f>
        <v>0</v>
      </c>
      <c r="N411" s="6">
        <f>IF((M410&gt;0)=(M411&gt;0),"",K411-M411/L410)</f>
        <v>0</v>
      </c>
      <c r="O411" s="10"/>
    </row>
    <row r="412" spans="1:15">
      <c r="A412" s="11" t="s">
        <v>1203</v>
      </c>
      <c r="B412" s="6">
        <f>B309</f>
        <v>0</v>
      </c>
      <c r="C412" s="6">
        <f>B344</f>
        <v>0</v>
      </c>
      <c r="D412" s="6">
        <f>IF(ISERROR(B412),C412,0)</f>
        <v>0</v>
      </c>
      <c r="E412" s="6">
        <f>MAX($B$364,B412)*C412</f>
        <v>0</v>
      </c>
      <c r="F412" s="17">
        <f>RANK(B412,B$390:B$414,1)</f>
        <v>0</v>
      </c>
      <c r="G412" s="28">
        <v>23</v>
      </c>
      <c r="H412" s="17">
        <f>F412*25+G412</f>
        <v>0</v>
      </c>
      <c r="I412" s="17">
        <f>RANK(H412,H$390:H$414,1)</f>
        <v>0</v>
      </c>
      <c r="J412" s="17">
        <f>MATCH(G412,I$390:I$414,0)</f>
        <v>0</v>
      </c>
      <c r="K412" s="6">
        <f>INDEX(B$390:B$414,J412,1)</f>
        <v>0</v>
      </c>
      <c r="L412" s="6">
        <f>L411+INDEX(C$390:C$414,J412,1)</f>
        <v>0</v>
      </c>
      <c r="M412" s="6">
        <f>M411+(K412-K411)*L411</f>
        <v>0</v>
      </c>
      <c r="N412" s="6">
        <f>IF((M411&gt;0)=(M412&gt;0),"",K412-M412/L411)</f>
        <v>0</v>
      </c>
      <c r="O412" s="10"/>
    </row>
    <row r="413" spans="1:15">
      <c r="A413" s="11" t="s">
        <v>1204</v>
      </c>
      <c r="B413" s="6">
        <f>B310</f>
        <v>0</v>
      </c>
      <c r="C413" s="6">
        <f>B345</f>
        <v>0</v>
      </c>
      <c r="D413" s="6">
        <f>IF(ISERROR(B413),C413,0)</f>
        <v>0</v>
      </c>
      <c r="E413" s="6">
        <f>MAX($B$364,B413)*C413</f>
        <v>0</v>
      </c>
      <c r="F413" s="17">
        <f>RANK(B413,B$390:B$414,1)</f>
        <v>0</v>
      </c>
      <c r="G413" s="28">
        <v>24</v>
      </c>
      <c r="H413" s="17">
        <f>F413*25+G413</f>
        <v>0</v>
      </c>
      <c r="I413" s="17">
        <f>RANK(H413,H$390:H$414,1)</f>
        <v>0</v>
      </c>
      <c r="J413" s="17">
        <f>MATCH(G413,I$390:I$414,0)</f>
        <v>0</v>
      </c>
      <c r="K413" s="6">
        <f>INDEX(B$390:B$414,J413,1)</f>
        <v>0</v>
      </c>
      <c r="L413" s="6">
        <f>L412+INDEX(C$390:C$414,J413,1)</f>
        <v>0</v>
      </c>
      <c r="M413" s="6">
        <f>M412+(K413-K412)*L412</f>
        <v>0</v>
      </c>
      <c r="N413" s="6">
        <f>IF((M412&gt;0)=(M413&gt;0),"",K413-M413/L412)</f>
        <v>0</v>
      </c>
      <c r="O413" s="10"/>
    </row>
    <row r="414" spans="1:15">
      <c r="A414" s="11" t="s">
        <v>1205</v>
      </c>
      <c r="B414" s="6">
        <f>B311</f>
        <v>0</v>
      </c>
      <c r="C414" s="6">
        <f>B346</f>
        <v>0</v>
      </c>
      <c r="D414" s="6">
        <f>IF(ISERROR(B414),C414,0)</f>
        <v>0</v>
      </c>
      <c r="E414" s="6">
        <f>MAX($B$364,B414)*C414</f>
        <v>0</v>
      </c>
      <c r="F414" s="17">
        <f>RANK(B414,B$390:B$414,1)</f>
        <v>0</v>
      </c>
      <c r="G414" s="28">
        <v>25</v>
      </c>
      <c r="H414" s="17">
        <f>F414*25+G414</f>
        <v>0</v>
      </c>
      <c r="I414" s="17">
        <f>RANK(H414,H$390:H$414,1)</f>
        <v>0</v>
      </c>
      <c r="J414" s="17">
        <f>MATCH(G414,I$390:I$414,0)</f>
        <v>0</v>
      </c>
      <c r="K414" s="6">
        <f>INDEX(B$390:B$414,J414,1)</f>
        <v>0</v>
      </c>
      <c r="L414" s="6">
        <f>L413+INDEX(C$390:C$414,J414,1)</f>
        <v>0</v>
      </c>
      <c r="M414" s="6">
        <f>M413+(K414-K413)*L413</f>
        <v>0</v>
      </c>
      <c r="N414" s="6">
        <f>IF((M413&gt;0)=(M414&gt;0),"",K414-M414/L413)</f>
        <v>0</v>
      </c>
      <c r="O414" s="10"/>
    </row>
    <row r="416" spans="1:15">
      <c r="A416" s="1" t="s">
        <v>1293</v>
      </c>
    </row>
    <row r="417" spans="1:3">
      <c r="A417" s="2" t="s">
        <v>349</v>
      </c>
    </row>
    <row r="418" spans="1:3">
      <c r="A418" s="12" t="s">
        <v>1294</v>
      </c>
    </row>
    <row r="419" spans="1:3">
      <c r="A419" s="2" t="s">
        <v>1258</v>
      </c>
    </row>
    <row r="421" spans="1:3">
      <c r="B421" s="3" t="s">
        <v>1295</v>
      </c>
    </row>
    <row r="422" spans="1:3">
      <c r="A422" s="11" t="s">
        <v>1295</v>
      </c>
      <c r="B422" s="6">
        <f>MIN($N$389:$N$414)</f>
        <v>0</v>
      </c>
      <c r="C422" s="10"/>
    </row>
    <row r="424" spans="1:3">
      <c r="A424" s="1" t="s">
        <v>1296</v>
      </c>
    </row>
    <row r="425" spans="1:3">
      <c r="A425" s="2" t="s">
        <v>349</v>
      </c>
    </row>
    <row r="426" spans="1:3">
      <c r="A426" s="12" t="s">
        <v>991</v>
      </c>
    </row>
    <row r="427" spans="1:3">
      <c r="A427" s="12" t="s">
        <v>1297</v>
      </c>
    </row>
    <row r="428" spans="1:3">
      <c r="A428" s="26" t="s">
        <v>352</v>
      </c>
      <c r="B428" s="26" t="s">
        <v>482</v>
      </c>
    </row>
    <row r="429" spans="1:3">
      <c r="A429" s="26" t="s">
        <v>355</v>
      </c>
      <c r="B429" s="26" t="s">
        <v>1121</v>
      </c>
    </row>
    <row r="431" spans="1:3">
      <c r="B431" s="3" t="s">
        <v>1298</v>
      </c>
    </row>
    <row r="432" spans="1:3">
      <c r="A432" s="11" t="s">
        <v>172</v>
      </c>
      <c r="B432" s="9"/>
      <c r="C432" s="10"/>
    </row>
    <row r="433" spans="1:3">
      <c r="A433" s="11" t="s">
        <v>173</v>
      </c>
      <c r="B433" s="9"/>
      <c r="C433" s="10"/>
    </row>
    <row r="434" spans="1:3">
      <c r="A434" s="11" t="s">
        <v>210</v>
      </c>
      <c r="B434" s="9"/>
      <c r="C434" s="10"/>
    </row>
    <row r="435" spans="1:3">
      <c r="A435" s="11" t="s">
        <v>174</v>
      </c>
      <c r="B435" s="9"/>
      <c r="C435" s="10"/>
    </row>
    <row r="436" spans="1:3">
      <c r="A436" s="11" t="s">
        <v>175</v>
      </c>
      <c r="B436" s="9"/>
      <c r="C436" s="10"/>
    </row>
    <row r="437" spans="1:3">
      <c r="A437" s="11" t="s">
        <v>211</v>
      </c>
      <c r="B437" s="9"/>
      <c r="C437" s="10"/>
    </row>
    <row r="438" spans="1:3">
      <c r="A438" s="11" t="s">
        <v>176</v>
      </c>
      <c r="B438" s="9"/>
      <c r="C438" s="10"/>
    </row>
    <row r="439" spans="1:3">
      <c r="A439" s="11" t="s">
        <v>177</v>
      </c>
      <c r="B439" s="9"/>
      <c r="C439" s="10"/>
    </row>
    <row r="440" spans="1:3">
      <c r="A440" s="11" t="s">
        <v>191</v>
      </c>
      <c r="B440" s="9"/>
      <c r="C440" s="10"/>
    </row>
    <row r="441" spans="1:3">
      <c r="A441" s="11" t="s">
        <v>178</v>
      </c>
      <c r="B441" s="6">
        <f>IF('Loads'!B53&lt;0,0,0-'Aggreg'!F236)</f>
        <v>0</v>
      </c>
      <c r="C441" s="10"/>
    </row>
    <row r="442" spans="1:3">
      <c r="A442" s="11" t="s">
        <v>179</v>
      </c>
      <c r="B442" s="6">
        <f>IF('Loads'!B54&lt;0,0,0-'Aggreg'!F237)</f>
        <v>0</v>
      </c>
      <c r="C442" s="10"/>
    </row>
    <row r="443" spans="1:3">
      <c r="A443" s="11" t="s">
        <v>192</v>
      </c>
      <c r="B443" s="6">
        <f>IF('Loads'!B55&lt;0,0,0-'Aggreg'!F238)</f>
        <v>0</v>
      </c>
      <c r="C443" s="10"/>
    </row>
    <row r="444" spans="1:3">
      <c r="A444" s="11" t="s">
        <v>212</v>
      </c>
      <c r="B444" s="9"/>
      <c r="C444" s="10"/>
    </row>
    <row r="445" spans="1:3">
      <c r="A445" s="11" t="s">
        <v>213</v>
      </c>
      <c r="B445" s="9"/>
      <c r="C445" s="10"/>
    </row>
    <row r="446" spans="1:3">
      <c r="A446" s="11" t="s">
        <v>214</v>
      </c>
      <c r="B446" s="9"/>
      <c r="C446" s="10"/>
    </row>
    <row r="447" spans="1:3">
      <c r="A447" s="11" t="s">
        <v>215</v>
      </c>
      <c r="B447" s="9"/>
      <c r="C447" s="10"/>
    </row>
    <row r="448" spans="1:3">
      <c r="A448" s="11" t="s">
        <v>216</v>
      </c>
      <c r="B448" s="9"/>
      <c r="C448" s="10"/>
    </row>
    <row r="449" spans="1:3">
      <c r="A449" s="11" t="s">
        <v>180</v>
      </c>
      <c r="B449" s="9"/>
      <c r="C449" s="10"/>
    </row>
    <row r="450" spans="1:3">
      <c r="A450" s="11" t="s">
        <v>181</v>
      </c>
      <c r="B450" s="9"/>
      <c r="C450" s="10"/>
    </row>
    <row r="451" spans="1:3">
      <c r="A451" s="11" t="s">
        <v>182</v>
      </c>
      <c r="B451" s="9"/>
      <c r="C451" s="10"/>
    </row>
    <row r="452" spans="1:3">
      <c r="A452" s="11" t="s">
        <v>183</v>
      </c>
      <c r="B452" s="9"/>
      <c r="C452" s="10"/>
    </row>
    <row r="453" spans="1:3">
      <c r="A453" s="11" t="s">
        <v>184</v>
      </c>
      <c r="B453" s="9"/>
      <c r="C453" s="10"/>
    </row>
    <row r="454" spans="1:3">
      <c r="A454" s="11" t="s">
        <v>185</v>
      </c>
      <c r="B454" s="9"/>
      <c r="C454" s="10"/>
    </row>
    <row r="455" spans="1:3">
      <c r="A455" s="11" t="s">
        <v>193</v>
      </c>
      <c r="B455" s="9"/>
      <c r="C455" s="10"/>
    </row>
    <row r="456" spans="1:3">
      <c r="A456" s="11" t="s">
        <v>194</v>
      </c>
      <c r="B456" s="9"/>
      <c r="C456" s="10"/>
    </row>
    <row r="458" spans="1:3">
      <c r="A458" s="1" t="s">
        <v>1299</v>
      </c>
    </row>
    <row r="459" spans="1:3">
      <c r="A459" s="2" t="s">
        <v>349</v>
      </c>
    </row>
    <row r="460" spans="1:3">
      <c r="A460" s="12" t="s">
        <v>991</v>
      </c>
    </row>
    <row r="461" spans="1:3">
      <c r="A461" s="12" t="s">
        <v>1300</v>
      </c>
    </row>
    <row r="462" spans="1:3">
      <c r="A462" s="12" t="s">
        <v>402</v>
      </c>
    </row>
    <row r="463" spans="1:3">
      <c r="A463" s="26" t="s">
        <v>352</v>
      </c>
      <c r="B463" s="26" t="s">
        <v>482</v>
      </c>
    </row>
    <row r="464" spans="1:3">
      <c r="A464" s="26" t="s">
        <v>355</v>
      </c>
      <c r="B464" s="26" t="s">
        <v>1301</v>
      </c>
    </row>
    <row r="466" spans="1:3">
      <c r="B466" s="3" t="s">
        <v>1302</v>
      </c>
    </row>
    <row r="467" spans="1:3">
      <c r="A467" s="11" t="s">
        <v>172</v>
      </c>
      <c r="B467" s="6">
        <f>IF('Loads'!B44&lt;0,0,'Loads'!F282*'Input'!F$58*0.01)</f>
        <v>0</v>
      </c>
      <c r="C467" s="10"/>
    </row>
    <row r="468" spans="1:3">
      <c r="A468" s="11" t="s">
        <v>173</v>
      </c>
      <c r="B468" s="6">
        <f>IF('Loads'!B45&lt;0,0,'Loads'!F283*'Input'!F$58*0.01)</f>
        <v>0</v>
      </c>
      <c r="C468" s="10"/>
    </row>
    <row r="469" spans="1:3">
      <c r="A469" s="11" t="s">
        <v>210</v>
      </c>
      <c r="B469" s="6">
        <f>IF('Loads'!B46&lt;0,0,'Loads'!F284*'Input'!F$58*0.01)</f>
        <v>0</v>
      </c>
      <c r="C469" s="10"/>
    </row>
    <row r="470" spans="1:3">
      <c r="A470" s="11" t="s">
        <v>174</v>
      </c>
      <c r="B470" s="6">
        <f>IF('Loads'!B47&lt;0,0,'Loads'!F285*'Input'!F$58*0.01)</f>
        <v>0</v>
      </c>
      <c r="C470" s="10"/>
    </row>
    <row r="471" spans="1:3">
      <c r="A471" s="11" t="s">
        <v>175</v>
      </c>
      <c r="B471" s="6">
        <f>IF('Loads'!B48&lt;0,0,'Loads'!F286*'Input'!F$58*0.01)</f>
        <v>0</v>
      </c>
      <c r="C471" s="10"/>
    </row>
    <row r="472" spans="1:3">
      <c r="A472" s="11" t="s">
        <v>211</v>
      </c>
      <c r="B472" s="6">
        <f>IF('Loads'!B49&lt;0,0,'Loads'!F287*'Input'!F$58*0.01)</f>
        <v>0</v>
      </c>
      <c r="C472" s="10"/>
    </row>
    <row r="473" spans="1:3">
      <c r="A473" s="11" t="s">
        <v>176</v>
      </c>
      <c r="B473" s="6">
        <f>IF('Loads'!B50&lt;0,0,'Loads'!F288*'Input'!F$58*0.01)</f>
        <v>0</v>
      </c>
      <c r="C473" s="10"/>
    </row>
    <row r="474" spans="1:3">
      <c r="A474" s="11" t="s">
        <v>177</v>
      </c>
      <c r="B474" s="6">
        <f>IF('Loads'!B51&lt;0,0,'Loads'!F289*'Input'!F$58*0.01)</f>
        <v>0</v>
      </c>
      <c r="C474" s="10"/>
    </row>
    <row r="475" spans="1:3">
      <c r="A475" s="11" t="s">
        <v>191</v>
      </c>
      <c r="B475" s="6">
        <f>IF('Loads'!B52&lt;0,0,'Loads'!F290*'Input'!F$58*0.01)</f>
        <v>0</v>
      </c>
      <c r="C475" s="10"/>
    </row>
    <row r="476" spans="1:3">
      <c r="A476" s="11" t="s">
        <v>178</v>
      </c>
      <c r="B476" s="6">
        <f>IF('Loads'!B53&lt;0,0,'Loads'!F291*'Input'!F$58*0.01)</f>
        <v>0</v>
      </c>
      <c r="C476" s="10"/>
    </row>
    <row r="477" spans="1:3">
      <c r="A477" s="11" t="s">
        <v>179</v>
      </c>
      <c r="B477" s="6">
        <f>IF('Loads'!B54&lt;0,0,'Loads'!F292*'Input'!F$58*0.01)</f>
        <v>0</v>
      </c>
      <c r="C477" s="10"/>
    </row>
    <row r="478" spans="1:3">
      <c r="A478" s="11" t="s">
        <v>192</v>
      </c>
      <c r="B478" s="6">
        <f>IF('Loads'!B55&lt;0,0,'Loads'!F293*'Input'!F$58*0.01)</f>
        <v>0</v>
      </c>
      <c r="C478" s="10"/>
    </row>
    <row r="479" spans="1:3">
      <c r="A479" s="11" t="s">
        <v>212</v>
      </c>
      <c r="B479" s="6">
        <f>IF('Loads'!B56&lt;0,0,'Loads'!F294*'Input'!F$58*0.01)</f>
        <v>0</v>
      </c>
      <c r="C479" s="10"/>
    </row>
    <row r="480" spans="1:3">
      <c r="A480" s="11" t="s">
        <v>213</v>
      </c>
      <c r="B480" s="6">
        <f>IF('Loads'!B57&lt;0,0,'Loads'!F295*'Input'!F$58*0.01)</f>
        <v>0</v>
      </c>
      <c r="C480" s="10"/>
    </row>
    <row r="481" spans="1:3">
      <c r="A481" s="11" t="s">
        <v>214</v>
      </c>
      <c r="B481" s="6">
        <f>IF('Loads'!B58&lt;0,0,'Loads'!F296*'Input'!F$58*0.01)</f>
        <v>0</v>
      </c>
      <c r="C481" s="10"/>
    </row>
    <row r="482" spans="1:3">
      <c r="A482" s="11" t="s">
        <v>215</v>
      </c>
      <c r="B482" s="6">
        <f>IF('Loads'!B59&lt;0,0,'Loads'!F297*'Input'!F$58*0.01)</f>
        <v>0</v>
      </c>
      <c r="C482" s="10"/>
    </row>
    <row r="483" spans="1:3">
      <c r="A483" s="11" t="s">
        <v>216</v>
      </c>
      <c r="B483" s="6">
        <f>IF('Loads'!B60&lt;0,0,'Loads'!F298*'Input'!F$58*0.01)</f>
        <v>0</v>
      </c>
      <c r="C483" s="10"/>
    </row>
    <row r="484" spans="1:3">
      <c r="A484" s="11" t="s">
        <v>180</v>
      </c>
      <c r="B484" s="6">
        <f>IF('Loads'!B61&lt;0,0,'Loads'!F299*'Input'!F$58*0.01)</f>
        <v>0</v>
      </c>
      <c r="C484" s="10"/>
    </row>
    <row r="485" spans="1:3">
      <c r="A485" s="11" t="s">
        <v>181</v>
      </c>
      <c r="B485" s="6">
        <f>IF('Loads'!B62&lt;0,0,'Loads'!F300*'Input'!F$58*0.01)</f>
        <v>0</v>
      </c>
      <c r="C485" s="10"/>
    </row>
    <row r="486" spans="1:3">
      <c r="A486" s="11" t="s">
        <v>182</v>
      </c>
      <c r="B486" s="6">
        <f>IF('Loads'!B63&lt;0,0,'Loads'!F301*'Input'!F$58*0.01)</f>
        <v>0</v>
      </c>
      <c r="C486" s="10"/>
    </row>
    <row r="487" spans="1:3">
      <c r="A487" s="11" t="s">
        <v>183</v>
      </c>
      <c r="B487" s="6">
        <f>IF('Loads'!B64&lt;0,0,'Loads'!F302*'Input'!F$58*0.01)</f>
        <v>0</v>
      </c>
      <c r="C487" s="10"/>
    </row>
    <row r="488" spans="1:3">
      <c r="A488" s="11" t="s">
        <v>184</v>
      </c>
      <c r="B488" s="6">
        <f>IF('Loads'!B65&lt;0,0,'Loads'!F303*'Input'!F$58*0.01)</f>
        <v>0</v>
      </c>
      <c r="C488" s="10"/>
    </row>
    <row r="489" spans="1:3">
      <c r="A489" s="11" t="s">
        <v>185</v>
      </c>
      <c r="B489" s="6">
        <f>IF('Loads'!B66&lt;0,0,'Loads'!F304*'Input'!F$58*0.01)</f>
        <v>0</v>
      </c>
      <c r="C489" s="10"/>
    </row>
    <row r="490" spans="1:3">
      <c r="A490" s="11" t="s">
        <v>193</v>
      </c>
      <c r="B490" s="6">
        <f>IF('Loads'!B67&lt;0,0,'Loads'!F305*'Input'!F$58*0.01)</f>
        <v>0</v>
      </c>
      <c r="C490" s="10"/>
    </row>
    <row r="491" spans="1:3">
      <c r="A491" s="11" t="s">
        <v>194</v>
      </c>
      <c r="B491" s="6">
        <f>IF('Loads'!B68&lt;0,0,'Loads'!F306*'Input'!F$58*0.01)</f>
        <v>0</v>
      </c>
      <c r="C491" s="10"/>
    </row>
    <row r="493" spans="1:3">
      <c r="A493" s="1" t="s">
        <v>1303</v>
      </c>
    </row>
    <row r="494" spans="1:3">
      <c r="A494" s="2" t="s">
        <v>349</v>
      </c>
    </row>
    <row r="495" spans="1:3">
      <c r="A495" s="12" t="s">
        <v>1304</v>
      </c>
    </row>
    <row r="496" spans="1:3">
      <c r="A496" s="12" t="s">
        <v>1305</v>
      </c>
    </row>
    <row r="497" spans="1:3">
      <c r="A497" s="2" t="s">
        <v>1270</v>
      </c>
    </row>
    <row r="499" spans="1:3">
      <c r="B499" s="3" t="s">
        <v>1141</v>
      </c>
    </row>
    <row r="500" spans="1:3">
      <c r="A500" s="11" t="s">
        <v>1141</v>
      </c>
      <c r="B500" s="6">
        <f>D72/SUM($B$467:$B$491)</f>
        <v>0</v>
      </c>
      <c r="C500" s="10"/>
    </row>
    <row r="502" spans="1:3">
      <c r="A502" s="1" t="s">
        <v>1306</v>
      </c>
    </row>
    <row r="503" spans="1:3">
      <c r="A503" s="2" t="s">
        <v>349</v>
      </c>
    </row>
    <row r="504" spans="1:3">
      <c r="A504" s="12" t="s">
        <v>1307</v>
      </c>
    </row>
    <row r="505" spans="1:3">
      <c r="A505" s="12" t="s">
        <v>1308</v>
      </c>
    </row>
    <row r="506" spans="1:3">
      <c r="A506" s="2" t="s">
        <v>1274</v>
      </c>
    </row>
    <row r="508" spans="1:3">
      <c r="B508" s="3" t="s">
        <v>1148</v>
      </c>
    </row>
    <row r="509" spans="1:3">
      <c r="A509" s="11" t="s">
        <v>1148</v>
      </c>
      <c r="B509" s="6">
        <f>MIN(B500,$B$432:$B$456)</f>
        <v>0</v>
      </c>
      <c r="C509" s="10"/>
    </row>
    <row r="511" spans="1:3">
      <c r="A511" s="1" t="s">
        <v>1309</v>
      </c>
    </row>
    <row r="512" spans="1:3">
      <c r="A512" s="2" t="s">
        <v>349</v>
      </c>
    </row>
    <row r="513" spans="1:1">
      <c r="A513" s="12" t="s">
        <v>1310</v>
      </c>
    </row>
    <row r="514" spans="1:1">
      <c r="A514" s="12" t="s">
        <v>1308</v>
      </c>
    </row>
    <row r="515" spans="1:1">
      <c r="A515" s="12" t="s">
        <v>1311</v>
      </c>
    </row>
    <row r="516" spans="1:1">
      <c r="A516" s="12" t="s">
        <v>1312</v>
      </c>
    </row>
    <row r="517" spans="1:1">
      <c r="A517" s="12" t="s">
        <v>1313</v>
      </c>
    </row>
    <row r="518" spans="1:1">
      <c r="A518" s="12" t="s">
        <v>1314</v>
      </c>
    </row>
    <row r="519" spans="1:1">
      <c r="A519" s="12" t="s">
        <v>1315</v>
      </c>
    </row>
    <row r="520" spans="1:1">
      <c r="A520" s="12" t="s">
        <v>1316</v>
      </c>
    </row>
    <row r="521" spans="1:1">
      <c r="A521" s="12" t="s">
        <v>1317</v>
      </c>
    </row>
    <row r="522" spans="1:1">
      <c r="A522" s="12" t="s">
        <v>1318</v>
      </c>
    </row>
    <row r="523" spans="1:1">
      <c r="A523" s="12" t="s">
        <v>1319</v>
      </c>
    </row>
    <row r="524" spans="1:1">
      <c r="A524" s="12" t="s">
        <v>1320</v>
      </c>
    </row>
    <row r="525" spans="1:1">
      <c r="A525" s="12" t="s">
        <v>1321</v>
      </c>
    </row>
    <row r="526" spans="1:1">
      <c r="A526" s="12" t="s">
        <v>1322</v>
      </c>
    </row>
    <row r="527" spans="1:1">
      <c r="A527" s="12" t="s">
        <v>1323</v>
      </c>
    </row>
    <row r="528" spans="1:1">
      <c r="A528" s="12" t="s">
        <v>1324</v>
      </c>
    </row>
    <row r="529" spans="1:15">
      <c r="A529" s="12" t="s">
        <v>1325</v>
      </c>
    </row>
    <row r="530" spans="1:15">
      <c r="A530" s="26" t="s">
        <v>352</v>
      </c>
      <c r="B530" s="26" t="s">
        <v>420</v>
      </c>
      <c r="C530" s="26" t="s">
        <v>420</v>
      </c>
      <c r="D530" s="26" t="s">
        <v>420</v>
      </c>
      <c r="E530" s="26" t="s">
        <v>420</v>
      </c>
      <c r="F530" s="26" t="s">
        <v>420</v>
      </c>
      <c r="G530" s="26" t="s">
        <v>353</v>
      </c>
      <c r="H530" s="26" t="s">
        <v>482</v>
      </c>
      <c r="I530" s="26" t="s">
        <v>420</v>
      </c>
      <c r="J530" s="26" t="s">
        <v>420</v>
      </c>
      <c r="K530" s="26" t="s">
        <v>420</v>
      </c>
      <c r="L530" s="26" t="s">
        <v>420</v>
      </c>
      <c r="M530" s="26" t="s">
        <v>420</v>
      </c>
      <c r="N530" s="26" t="s">
        <v>420</v>
      </c>
    </row>
    <row r="531" spans="1:15">
      <c r="A531" s="26" t="s">
        <v>355</v>
      </c>
      <c r="B531" s="26" t="s">
        <v>420</v>
      </c>
      <c r="C531" s="26" t="s">
        <v>420</v>
      </c>
      <c r="D531" s="26" t="s">
        <v>420</v>
      </c>
      <c r="E531" s="26" t="s">
        <v>420</v>
      </c>
      <c r="F531" s="26" t="s">
        <v>420</v>
      </c>
      <c r="G531" s="26" t="s">
        <v>356</v>
      </c>
      <c r="H531" s="26" t="s">
        <v>1292</v>
      </c>
      <c r="I531" s="26" t="s">
        <v>420</v>
      </c>
      <c r="J531" s="26" t="s">
        <v>420</v>
      </c>
      <c r="K531" s="26" t="s">
        <v>420</v>
      </c>
      <c r="L531" s="26" t="s">
        <v>420</v>
      </c>
      <c r="M531" s="26" t="s">
        <v>420</v>
      </c>
      <c r="N531" s="26" t="s">
        <v>420</v>
      </c>
    </row>
    <row r="533" spans="1:15">
      <c r="B533" s="3" t="s">
        <v>1169</v>
      </c>
      <c r="C533" s="3" t="s">
        <v>1170</v>
      </c>
      <c r="D533" s="3" t="s">
        <v>1171</v>
      </c>
      <c r="E533" s="3" t="s">
        <v>1172</v>
      </c>
      <c r="F533" s="3" t="s">
        <v>1173</v>
      </c>
      <c r="G533" s="3" t="s">
        <v>1174</v>
      </c>
      <c r="H533" s="3" t="s">
        <v>1175</v>
      </c>
      <c r="I533" s="3" t="s">
        <v>1176</v>
      </c>
      <c r="J533" s="3" t="s">
        <v>1177</v>
      </c>
      <c r="K533" s="3" t="s">
        <v>1178</v>
      </c>
      <c r="L533" s="3" t="s">
        <v>1179</v>
      </c>
      <c r="M533" s="3" t="s">
        <v>10</v>
      </c>
      <c r="N533" s="3" t="s">
        <v>1180</v>
      </c>
    </row>
    <row r="534" spans="1:15">
      <c r="A534" s="11" t="s">
        <v>1148</v>
      </c>
      <c r="B534" s="6">
        <f>B509</f>
        <v>0</v>
      </c>
      <c r="C534" s="9"/>
      <c r="D534" s="9"/>
      <c r="E534" s="9"/>
      <c r="F534" s="9"/>
      <c r="G534" s="28">
        <v>0</v>
      </c>
      <c r="H534" s="17">
        <f>F534*25+G534</f>
        <v>0</v>
      </c>
      <c r="I534" s="9"/>
      <c r="J534" s="9"/>
      <c r="K534" s="6">
        <f>B534</f>
        <v>0</v>
      </c>
      <c r="L534" s="6">
        <f>SUM(D$534:D$558)</f>
        <v>0</v>
      </c>
      <c r="M534" s="6">
        <f>SUM($E$534:$E$558)-$D$72</f>
        <v>0</v>
      </c>
      <c r="N534" s="6">
        <f>IF(M$534&gt;0,K534,IF(M$559&gt;0,"",$B$500))</f>
        <v>0</v>
      </c>
      <c r="O534" s="10"/>
    </row>
    <row r="535" spans="1:15">
      <c r="A535" s="11" t="s">
        <v>1181</v>
      </c>
      <c r="B535" s="6">
        <f>B432</f>
        <v>0</v>
      </c>
      <c r="C535" s="6">
        <f>B467</f>
        <v>0</v>
      </c>
      <c r="D535" s="6">
        <f>IF(ISERROR(B535),C535,0)</f>
        <v>0</v>
      </c>
      <c r="E535" s="6">
        <f>MAX($B$509,B535)*C535</f>
        <v>0</v>
      </c>
      <c r="F535" s="17">
        <f>RANK(B535,B$535:B$559,1)</f>
        <v>0</v>
      </c>
      <c r="G535" s="28">
        <v>1</v>
      </c>
      <c r="H535" s="17">
        <f>F535*25+G535</f>
        <v>0</v>
      </c>
      <c r="I535" s="17">
        <f>RANK(H535,H$535:H$559,1)</f>
        <v>0</v>
      </c>
      <c r="J535" s="17">
        <f>MATCH(G535,I$535:I$559,0)</f>
        <v>0</v>
      </c>
      <c r="K535" s="6">
        <f>INDEX(B$535:B$559,J535,1)</f>
        <v>0</v>
      </c>
      <c r="L535" s="6">
        <f>L534+INDEX(C$535:C$559,J535,1)</f>
        <v>0</v>
      </c>
      <c r="M535" s="6">
        <f>M534+(K535-K534)*L534</f>
        <v>0</v>
      </c>
      <c r="N535" s="6">
        <f>IF((M534&gt;0)=(M535&gt;0),"",K535-M535/L534)</f>
        <v>0</v>
      </c>
      <c r="O535" s="10"/>
    </row>
    <row r="536" spans="1:15">
      <c r="A536" s="11" t="s">
        <v>1182</v>
      </c>
      <c r="B536" s="6">
        <f>B433</f>
        <v>0</v>
      </c>
      <c r="C536" s="6">
        <f>B468</f>
        <v>0</v>
      </c>
      <c r="D536" s="6">
        <f>IF(ISERROR(B536),C536,0)</f>
        <v>0</v>
      </c>
      <c r="E536" s="6">
        <f>MAX($B$509,B536)*C536</f>
        <v>0</v>
      </c>
      <c r="F536" s="17">
        <f>RANK(B536,B$535:B$559,1)</f>
        <v>0</v>
      </c>
      <c r="G536" s="28">
        <v>2</v>
      </c>
      <c r="H536" s="17">
        <f>F536*25+G536</f>
        <v>0</v>
      </c>
      <c r="I536" s="17">
        <f>RANK(H536,H$535:H$559,1)</f>
        <v>0</v>
      </c>
      <c r="J536" s="17">
        <f>MATCH(G536,I$535:I$559,0)</f>
        <v>0</v>
      </c>
      <c r="K536" s="6">
        <f>INDEX(B$535:B$559,J536,1)</f>
        <v>0</v>
      </c>
      <c r="L536" s="6">
        <f>L535+INDEX(C$535:C$559,J536,1)</f>
        <v>0</v>
      </c>
      <c r="M536" s="6">
        <f>M535+(K536-K535)*L535</f>
        <v>0</v>
      </c>
      <c r="N536" s="6">
        <f>IF((M535&gt;0)=(M536&gt;0),"",K536-M536/L535)</f>
        <v>0</v>
      </c>
      <c r="O536" s="10"/>
    </row>
    <row r="537" spans="1:15">
      <c r="A537" s="11" t="s">
        <v>1183</v>
      </c>
      <c r="B537" s="6">
        <f>B434</f>
        <v>0</v>
      </c>
      <c r="C537" s="6">
        <f>B469</f>
        <v>0</v>
      </c>
      <c r="D537" s="6">
        <f>IF(ISERROR(B537),C537,0)</f>
        <v>0</v>
      </c>
      <c r="E537" s="6">
        <f>MAX($B$509,B537)*C537</f>
        <v>0</v>
      </c>
      <c r="F537" s="17">
        <f>RANK(B537,B$535:B$559,1)</f>
        <v>0</v>
      </c>
      <c r="G537" s="28">
        <v>3</v>
      </c>
      <c r="H537" s="17">
        <f>F537*25+G537</f>
        <v>0</v>
      </c>
      <c r="I537" s="17">
        <f>RANK(H537,H$535:H$559,1)</f>
        <v>0</v>
      </c>
      <c r="J537" s="17">
        <f>MATCH(G537,I$535:I$559,0)</f>
        <v>0</v>
      </c>
      <c r="K537" s="6">
        <f>INDEX(B$535:B$559,J537,1)</f>
        <v>0</v>
      </c>
      <c r="L537" s="6">
        <f>L536+INDEX(C$535:C$559,J537,1)</f>
        <v>0</v>
      </c>
      <c r="M537" s="6">
        <f>M536+(K537-K536)*L536</f>
        <v>0</v>
      </c>
      <c r="N537" s="6">
        <f>IF((M536&gt;0)=(M537&gt;0),"",K537-M537/L536)</f>
        <v>0</v>
      </c>
      <c r="O537" s="10"/>
    </row>
    <row r="538" spans="1:15">
      <c r="A538" s="11" t="s">
        <v>1184</v>
      </c>
      <c r="B538" s="6">
        <f>B435</f>
        <v>0</v>
      </c>
      <c r="C538" s="6">
        <f>B470</f>
        <v>0</v>
      </c>
      <c r="D538" s="6">
        <f>IF(ISERROR(B538),C538,0)</f>
        <v>0</v>
      </c>
      <c r="E538" s="6">
        <f>MAX($B$509,B538)*C538</f>
        <v>0</v>
      </c>
      <c r="F538" s="17">
        <f>RANK(B538,B$535:B$559,1)</f>
        <v>0</v>
      </c>
      <c r="G538" s="28">
        <v>4</v>
      </c>
      <c r="H538" s="17">
        <f>F538*25+G538</f>
        <v>0</v>
      </c>
      <c r="I538" s="17">
        <f>RANK(H538,H$535:H$559,1)</f>
        <v>0</v>
      </c>
      <c r="J538" s="17">
        <f>MATCH(G538,I$535:I$559,0)</f>
        <v>0</v>
      </c>
      <c r="K538" s="6">
        <f>INDEX(B$535:B$559,J538,1)</f>
        <v>0</v>
      </c>
      <c r="L538" s="6">
        <f>L537+INDEX(C$535:C$559,J538,1)</f>
        <v>0</v>
      </c>
      <c r="M538" s="6">
        <f>M537+(K538-K537)*L537</f>
        <v>0</v>
      </c>
      <c r="N538" s="6">
        <f>IF((M537&gt;0)=(M538&gt;0),"",K538-M538/L537)</f>
        <v>0</v>
      </c>
      <c r="O538" s="10"/>
    </row>
    <row r="539" spans="1:15">
      <c r="A539" s="11" t="s">
        <v>1185</v>
      </c>
      <c r="B539" s="6">
        <f>B436</f>
        <v>0</v>
      </c>
      <c r="C539" s="6">
        <f>B471</f>
        <v>0</v>
      </c>
      <c r="D539" s="6">
        <f>IF(ISERROR(B539),C539,0)</f>
        <v>0</v>
      </c>
      <c r="E539" s="6">
        <f>MAX($B$509,B539)*C539</f>
        <v>0</v>
      </c>
      <c r="F539" s="17">
        <f>RANK(B539,B$535:B$559,1)</f>
        <v>0</v>
      </c>
      <c r="G539" s="28">
        <v>5</v>
      </c>
      <c r="H539" s="17">
        <f>F539*25+G539</f>
        <v>0</v>
      </c>
      <c r="I539" s="17">
        <f>RANK(H539,H$535:H$559,1)</f>
        <v>0</v>
      </c>
      <c r="J539" s="17">
        <f>MATCH(G539,I$535:I$559,0)</f>
        <v>0</v>
      </c>
      <c r="K539" s="6">
        <f>INDEX(B$535:B$559,J539,1)</f>
        <v>0</v>
      </c>
      <c r="L539" s="6">
        <f>L538+INDEX(C$535:C$559,J539,1)</f>
        <v>0</v>
      </c>
      <c r="M539" s="6">
        <f>M538+(K539-K538)*L538</f>
        <v>0</v>
      </c>
      <c r="N539" s="6">
        <f>IF((M538&gt;0)=(M539&gt;0),"",K539-M539/L538)</f>
        <v>0</v>
      </c>
      <c r="O539" s="10"/>
    </row>
    <row r="540" spans="1:15">
      <c r="A540" s="11" t="s">
        <v>1186</v>
      </c>
      <c r="B540" s="6">
        <f>B437</f>
        <v>0</v>
      </c>
      <c r="C540" s="6">
        <f>B472</f>
        <v>0</v>
      </c>
      <c r="D540" s="6">
        <f>IF(ISERROR(B540),C540,0)</f>
        <v>0</v>
      </c>
      <c r="E540" s="6">
        <f>MAX($B$509,B540)*C540</f>
        <v>0</v>
      </c>
      <c r="F540" s="17">
        <f>RANK(B540,B$535:B$559,1)</f>
        <v>0</v>
      </c>
      <c r="G540" s="28">
        <v>6</v>
      </c>
      <c r="H540" s="17">
        <f>F540*25+G540</f>
        <v>0</v>
      </c>
      <c r="I540" s="17">
        <f>RANK(H540,H$535:H$559,1)</f>
        <v>0</v>
      </c>
      <c r="J540" s="17">
        <f>MATCH(G540,I$535:I$559,0)</f>
        <v>0</v>
      </c>
      <c r="K540" s="6">
        <f>INDEX(B$535:B$559,J540,1)</f>
        <v>0</v>
      </c>
      <c r="L540" s="6">
        <f>L539+INDEX(C$535:C$559,J540,1)</f>
        <v>0</v>
      </c>
      <c r="M540" s="6">
        <f>M539+(K540-K539)*L539</f>
        <v>0</v>
      </c>
      <c r="N540" s="6">
        <f>IF((M539&gt;0)=(M540&gt;0),"",K540-M540/L539)</f>
        <v>0</v>
      </c>
      <c r="O540" s="10"/>
    </row>
    <row r="541" spans="1:15">
      <c r="A541" s="11" t="s">
        <v>1187</v>
      </c>
      <c r="B541" s="6">
        <f>B438</f>
        <v>0</v>
      </c>
      <c r="C541" s="6">
        <f>B473</f>
        <v>0</v>
      </c>
      <c r="D541" s="6">
        <f>IF(ISERROR(B541),C541,0)</f>
        <v>0</v>
      </c>
      <c r="E541" s="6">
        <f>MAX($B$509,B541)*C541</f>
        <v>0</v>
      </c>
      <c r="F541" s="17">
        <f>RANK(B541,B$535:B$559,1)</f>
        <v>0</v>
      </c>
      <c r="G541" s="28">
        <v>7</v>
      </c>
      <c r="H541" s="17">
        <f>F541*25+G541</f>
        <v>0</v>
      </c>
      <c r="I541" s="17">
        <f>RANK(H541,H$535:H$559,1)</f>
        <v>0</v>
      </c>
      <c r="J541" s="17">
        <f>MATCH(G541,I$535:I$559,0)</f>
        <v>0</v>
      </c>
      <c r="K541" s="6">
        <f>INDEX(B$535:B$559,J541,1)</f>
        <v>0</v>
      </c>
      <c r="L541" s="6">
        <f>L540+INDEX(C$535:C$559,J541,1)</f>
        <v>0</v>
      </c>
      <c r="M541" s="6">
        <f>M540+(K541-K540)*L540</f>
        <v>0</v>
      </c>
      <c r="N541" s="6">
        <f>IF((M540&gt;0)=(M541&gt;0),"",K541-M541/L540)</f>
        <v>0</v>
      </c>
      <c r="O541" s="10"/>
    </row>
    <row r="542" spans="1:15">
      <c r="A542" s="11" t="s">
        <v>1188</v>
      </c>
      <c r="B542" s="6">
        <f>B439</f>
        <v>0</v>
      </c>
      <c r="C542" s="6">
        <f>B474</f>
        <v>0</v>
      </c>
      <c r="D542" s="6">
        <f>IF(ISERROR(B542),C542,0)</f>
        <v>0</v>
      </c>
      <c r="E542" s="6">
        <f>MAX($B$509,B542)*C542</f>
        <v>0</v>
      </c>
      <c r="F542" s="17">
        <f>RANK(B542,B$535:B$559,1)</f>
        <v>0</v>
      </c>
      <c r="G542" s="28">
        <v>8</v>
      </c>
      <c r="H542" s="17">
        <f>F542*25+G542</f>
        <v>0</v>
      </c>
      <c r="I542" s="17">
        <f>RANK(H542,H$535:H$559,1)</f>
        <v>0</v>
      </c>
      <c r="J542" s="17">
        <f>MATCH(G542,I$535:I$559,0)</f>
        <v>0</v>
      </c>
      <c r="K542" s="6">
        <f>INDEX(B$535:B$559,J542,1)</f>
        <v>0</v>
      </c>
      <c r="L542" s="6">
        <f>L541+INDEX(C$535:C$559,J542,1)</f>
        <v>0</v>
      </c>
      <c r="M542" s="6">
        <f>M541+(K542-K541)*L541</f>
        <v>0</v>
      </c>
      <c r="N542" s="6">
        <f>IF((M541&gt;0)=(M542&gt;0),"",K542-M542/L541)</f>
        <v>0</v>
      </c>
      <c r="O542" s="10"/>
    </row>
    <row r="543" spans="1:15">
      <c r="A543" s="11" t="s">
        <v>1189</v>
      </c>
      <c r="B543" s="6">
        <f>B440</f>
        <v>0</v>
      </c>
      <c r="C543" s="6">
        <f>B475</f>
        <v>0</v>
      </c>
      <c r="D543" s="6">
        <f>IF(ISERROR(B543),C543,0)</f>
        <v>0</v>
      </c>
      <c r="E543" s="6">
        <f>MAX($B$509,B543)*C543</f>
        <v>0</v>
      </c>
      <c r="F543" s="17">
        <f>RANK(B543,B$535:B$559,1)</f>
        <v>0</v>
      </c>
      <c r="G543" s="28">
        <v>9</v>
      </c>
      <c r="H543" s="17">
        <f>F543*25+G543</f>
        <v>0</v>
      </c>
      <c r="I543" s="17">
        <f>RANK(H543,H$535:H$559,1)</f>
        <v>0</v>
      </c>
      <c r="J543" s="17">
        <f>MATCH(G543,I$535:I$559,0)</f>
        <v>0</v>
      </c>
      <c r="K543" s="6">
        <f>INDEX(B$535:B$559,J543,1)</f>
        <v>0</v>
      </c>
      <c r="L543" s="6">
        <f>L542+INDEX(C$535:C$559,J543,1)</f>
        <v>0</v>
      </c>
      <c r="M543" s="6">
        <f>M542+(K543-K542)*L542</f>
        <v>0</v>
      </c>
      <c r="N543" s="6">
        <f>IF((M542&gt;0)=(M543&gt;0),"",K543-M543/L542)</f>
        <v>0</v>
      </c>
      <c r="O543" s="10"/>
    </row>
    <row r="544" spans="1:15">
      <c r="A544" s="11" t="s">
        <v>1190</v>
      </c>
      <c r="B544" s="6">
        <f>B441</f>
        <v>0</v>
      </c>
      <c r="C544" s="6">
        <f>B476</f>
        <v>0</v>
      </c>
      <c r="D544" s="6">
        <f>IF(ISERROR(B544),C544,0)</f>
        <v>0</v>
      </c>
      <c r="E544" s="6">
        <f>MAX($B$509,B544)*C544</f>
        <v>0</v>
      </c>
      <c r="F544" s="17">
        <f>RANK(B544,B$535:B$559,1)</f>
        <v>0</v>
      </c>
      <c r="G544" s="28">
        <v>10</v>
      </c>
      <c r="H544" s="17">
        <f>F544*25+G544</f>
        <v>0</v>
      </c>
      <c r="I544" s="17">
        <f>RANK(H544,H$535:H$559,1)</f>
        <v>0</v>
      </c>
      <c r="J544" s="17">
        <f>MATCH(G544,I$535:I$559,0)</f>
        <v>0</v>
      </c>
      <c r="K544" s="6">
        <f>INDEX(B$535:B$559,J544,1)</f>
        <v>0</v>
      </c>
      <c r="L544" s="6">
        <f>L543+INDEX(C$535:C$559,J544,1)</f>
        <v>0</v>
      </c>
      <c r="M544" s="6">
        <f>M543+(K544-K543)*L543</f>
        <v>0</v>
      </c>
      <c r="N544" s="6">
        <f>IF((M543&gt;0)=(M544&gt;0),"",K544-M544/L543)</f>
        <v>0</v>
      </c>
      <c r="O544" s="10"/>
    </row>
    <row r="545" spans="1:15">
      <c r="A545" s="11" t="s">
        <v>1191</v>
      </c>
      <c r="B545" s="6">
        <f>B442</f>
        <v>0</v>
      </c>
      <c r="C545" s="6">
        <f>B477</f>
        <v>0</v>
      </c>
      <c r="D545" s="6">
        <f>IF(ISERROR(B545),C545,0)</f>
        <v>0</v>
      </c>
      <c r="E545" s="6">
        <f>MAX($B$509,B545)*C545</f>
        <v>0</v>
      </c>
      <c r="F545" s="17">
        <f>RANK(B545,B$535:B$559,1)</f>
        <v>0</v>
      </c>
      <c r="G545" s="28">
        <v>11</v>
      </c>
      <c r="H545" s="17">
        <f>F545*25+G545</f>
        <v>0</v>
      </c>
      <c r="I545" s="17">
        <f>RANK(H545,H$535:H$559,1)</f>
        <v>0</v>
      </c>
      <c r="J545" s="17">
        <f>MATCH(G545,I$535:I$559,0)</f>
        <v>0</v>
      </c>
      <c r="K545" s="6">
        <f>INDEX(B$535:B$559,J545,1)</f>
        <v>0</v>
      </c>
      <c r="L545" s="6">
        <f>L544+INDEX(C$535:C$559,J545,1)</f>
        <v>0</v>
      </c>
      <c r="M545" s="6">
        <f>M544+(K545-K544)*L544</f>
        <v>0</v>
      </c>
      <c r="N545" s="6">
        <f>IF((M544&gt;0)=(M545&gt;0),"",K545-M545/L544)</f>
        <v>0</v>
      </c>
      <c r="O545" s="10"/>
    </row>
    <row r="546" spans="1:15">
      <c r="A546" s="11" t="s">
        <v>1192</v>
      </c>
      <c r="B546" s="6">
        <f>B443</f>
        <v>0</v>
      </c>
      <c r="C546" s="6">
        <f>B478</f>
        <v>0</v>
      </c>
      <c r="D546" s="6">
        <f>IF(ISERROR(B546),C546,0)</f>
        <v>0</v>
      </c>
      <c r="E546" s="6">
        <f>MAX($B$509,B546)*C546</f>
        <v>0</v>
      </c>
      <c r="F546" s="17">
        <f>RANK(B546,B$535:B$559,1)</f>
        <v>0</v>
      </c>
      <c r="G546" s="28">
        <v>12</v>
      </c>
      <c r="H546" s="17">
        <f>F546*25+G546</f>
        <v>0</v>
      </c>
      <c r="I546" s="17">
        <f>RANK(H546,H$535:H$559,1)</f>
        <v>0</v>
      </c>
      <c r="J546" s="17">
        <f>MATCH(G546,I$535:I$559,0)</f>
        <v>0</v>
      </c>
      <c r="K546" s="6">
        <f>INDEX(B$535:B$559,J546,1)</f>
        <v>0</v>
      </c>
      <c r="L546" s="6">
        <f>L545+INDEX(C$535:C$559,J546,1)</f>
        <v>0</v>
      </c>
      <c r="M546" s="6">
        <f>M545+(K546-K545)*L545</f>
        <v>0</v>
      </c>
      <c r="N546" s="6">
        <f>IF((M545&gt;0)=(M546&gt;0),"",K546-M546/L545)</f>
        <v>0</v>
      </c>
      <c r="O546" s="10"/>
    </row>
    <row r="547" spans="1:15">
      <c r="A547" s="11" t="s">
        <v>1193</v>
      </c>
      <c r="B547" s="6">
        <f>B444</f>
        <v>0</v>
      </c>
      <c r="C547" s="6">
        <f>B479</f>
        <v>0</v>
      </c>
      <c r="D547" s="6">
        <f>IF(ISERROR(B547),C547,0)</f>
        <v>0</v>
      </c>
      <c r="E547" s="6">
        <f>MAX($B$509,B547)*C547</f>
        <v>0</v>
      </c>
      <c r="F547" s="17">
        <f>RANK(B547,B$535:B$559,1)</f>
        <v>0</v>
      </c>
      <c r="G547" s="28">
        <v>13</v>
      </c>
      <c r="H547" s="17">
        <f>F547*25+G547</f>
        <v>0</v>
      </c>
      <c r="I547" s="17">
        <f>RANK(H547,H$535:H$559,1)</f>
        <v>0</v>
      </c>
      <c r="J547" s="17">
        <f>MATCH(G547,I$535:I$559,0)</f>
        <v>0</v>
      </c>
      <c r="K547" s="6">
        <f>INDEX(B$535:B$559,J547,1)</f>
        <v>0</v>
      </c>
      <c r="L547" s="6">
        <f>L546+INDEX(C$535:C$559,J547,1)</f>
        <v>0</v>
      </c>
      <c r="M547" s="6">
        <f>M546+(K547-K546)*L546</f>
        <v>0</v>
      </c>
      <c r="N547" s="6">
        <f>IF((M546&gt;0)=(M547&gt;0),"",K547-M547/L546)</f>
        <v>0</v>
      </c>
      <c r="O547" s="10"/>
    </row>
    <row r="548" spans="1:15">
      <c r="A548" s="11" t="s">
        <v>1194</v>
      </c>
      <c r="B548" s="6">
        <f>B445</f>
        <v>0</v>
      </c>
      <c r="C548" s="6">
        <f>B480</f>
        <v>0</v>
      </c>
      <c r="D548" s="6">
        <f>IF(ISERROR(B548),C548,0)</f>
        <v>0</v>
      </c>
      <c r="E548" s="6">
        <f>MAX($B$509,B548)*C548</f>
        <v>0</v>
      </c>
      <c r="F548" s="17">
        <f>RANK(B548,B$535:B$559,1)</f>
        <v>0</v>
      </c>
      <c r="G548" s="28">
        <v>14</v>
      </c>
      <c r="H548" s="17">
        <f>F548*25+G548</f>
        <v>0</v>
      </c>
      <c r="I548" s="17">
        <f>RANK(H548,H$535:H$559,1)</f>
        <v>0</v>
      </c>
      <c r="J548" s="17">
        <f>MATCH(G548,I$535:I$559,0)</f>
        <v>0</v>
      </c>
      <c r="K548" s="6">
        <f>INDEX(B$535:B$559,J548,1)</f>
        <v>0</v>
      </c>
      <c r="L548" s="6">
        <f>L547+INDEX(C$535:C$559,J548,1)</f>
        <v>0</v>
      </c>
      <c r="M548" s="6">
        <f>M547+(K548-K547)*L547</f>
        <v>0</v>
      </c>
      <c r="N548" s="6">
        <f>IF((M547&gt;0)=(M548&gt;0),"",K548-M548/L547)</f>
        <v>0</v>
      </c>
      <c r="O548" s="10"/>
    </row>
    <row r="549" spans="1:15">
      <c r="A549" s="11" t="s">
        <v>1195</v>
      </c>
      <c r="B549" s="6">
        <f>B446</f>
        <v>0</v>
      </c>
      <c r="C549" s="6">
        <f>B481</f>
        <v>0</v>
      </c>
      <c r="D549" s="6">
        <f>IF(ISERROR(B549),C549,0)</f>
        <v>0</v>
      </c>
      <c r="E549" s="6">
        <f>MAX($B$509,B549)*C549</f>
        <v>0</v>
      </c>
      <c r="F549" s="17">
        <f>RANK(B549,B$535:B$559,1)</f>
        <v>0</v>
      </c>
      <c r="G549" s="28">
        <v>15</v>
      </c>
      <c r="H549" s="17">
        <f>F549*25+G549</f>
        <v>0</v>
      </c>
      <c r="I549" s="17">
        <f>RANK(H549,H$535:H$559,1)</f>
        <v>0</v>
      </c>
      <c r="J549" s="17">
        <f>MATCH(G549,I$535:I$559,0)</f>
        <v>0</v>
      </c>
      <c r="K549" s="6">
        <f>INDEX(B$535:B$559,J549,1)</f>
        <v>0</v>
      </c>
      <c r="L549" s="6">
        <f>L548+INDEX(C$535:C$559,J549,1)</f>
        <v>0</v>
      </c>
      <c r="M549" s="6">
        <f>M548+(K549-K548)*L548</f>
        <v>0</v>
      </c>
      <c r="N549" s="6">
        <f>IF((M548&gt;0)=(M549&gt;0),"",K549-M549/L548)</f>
        <v>0</v>
      </c>
      <c r="O549" s="10"/>
    </row>
    <row r="550" spans="1:15">
      <c r="A550" s="11" t="s">
        <v>1196</v>
      </c>
      <c r="B550" s="6">
        <f>B447</f>
        <v>0</v>
      </c>
      <c r="C550" s="6">
        <f>B482</f>
        <v>0</v>
      </c>
      <c r="D550" s="6">
        <f>IF(ISERROR(B550),C550,0)</f>
        <v>0</v>
      </c>
      <c r="E550" s="6">
        <f>MAX($B$509,B550)*C550</f>
        <v>0</v>
      </c>
      <c r="F550" s="17">
        <f>RANK(B550,B$535:B$559,1)</f>
        <v>0</v>
      </c>
      <c r="G550" s="28">
        <v>16</v>
      </c>
      <c r="H550" s="17">
        <f>F550*25+G550</f>
        <v>0</v>
      </c>
      <c r="I550" s="17">
        <f>RANK(H550,H$535:H$559,1)</f>
        <v>0</v>
      </c>
      <c r="J550" s="17">
        <f>MATCH(G550,I$535:I$559,0)</f>
        <v>0</v>
      </c>
      <c r="K550" s="6">
        <f>INDEX(B$535:B$559,J550,1)</f>
        <v>0</v>
      </c>
      <c r="L550" s="6">
        <f>L549+INDEX(C$535:C$559,J550,1)</f>
        <v>0</v>
      </c>
      <c r="M550" s="6">
        <f>M549+(K550-K549)*L549</f>
        <v>0</v>
      </c>
      <c r="N550" s="6">
        <f>IF((M549&gt;0)=(M550&gt;0),"",K550-M550/L549)</f>
        <v>0</v>
      </c>
      <c r="O550" s="10"/>
    </row>
    <row r="551" spans="1:15">
      <c r="A551" s="11" t="s">
        <v>1197</v>
      </c>
      <c r="B551" s="6">
        <f>B448</f>
        <v>0</v>
      </c>
      <c r="C551" s="6">
        <f>B483</f>
        <v>0</v>
      </c>
      <c r="D551" s="6">
        <f>IF(ISERROR(B551),C551,0)</f>
        <v>0</v>
      </c>
      <c r="E551" s="6">
        <f>MAX($B$509,B551)*C551</f>
        <v>0</v>
      </c>
      <c r="F551" s="17">
        <f>RANK(B551,B$535:B$559,1)</f>
        <v>0</v>
      </c>
      <c r="G551" s="28">
        <v>17</v>
      </c>
      <c r="H551" s="17">
        <f>F551*25+G551</f>
        <v>0</v>
      </c>
      <c r="I551" s="17">
        <f>RANK(H551,H$535:H$559,1)</f>
        <v>0</v>
      </c>
      <c r="J551" s="17">
        <f>MATCH(G551,I$535:I$559,0)</f>
        <v>0</v>
      </c>
      <c r="K551" s="6">
        <f>INDEX(B$535:B$559,J551,1)</f>
        <v>0</v>
      </c>
      <c r="L551" s="6">
        <f>L550+INDEX(C$535:C$559,J551,1)</f>
        <v>0</v>
      </c>
      <c r="M551" s="6">
        <f>M550+(K551-K550)*L550</f>
        <v>0</v>
      </c>
      <c r="N551" s="6">
        <f>IF((M550&gt;0)=(M551&gt;0),"",K551-M551/L550)</f>
        <v>0</v>
      </c>
      <c r="O551" s="10"/>
    </row>
    <row r="552" spans="1:15">
      <c r="A552" s="11" t="s">
        <v>1198</v>
      </c>
      <c r="B552" s="6">
        <f>B449</f>
        <v>0</v>
      </c>
      <c r="C552" s="6">
        <f>B484</f>
        <v>0</v>
      </c>
      <c r="D552" s="6">
        <f>IF(ISERROR(B552),C552,0)</f>
        <v>0</v>
      </c>
      <c r="E552" s="6">
        <f>MAX($B$509,B552)*C552</f>
        <v>0</v>
      </c>
      <c r="F552" s="17">
        <f>RANK(B552,B$535:B$559,1)</f>
        <v>0</v>
      </c>
      <c r="G552" s="28">
        <v>18</v>
      </c>
      <c r="H552" s="17">
        <f>F552*25+G552</f>
        <v>0</v>
      </c>
      <c r="I552" s="17">
        <f>RANK(H552,H$535:H$559,1)</f>
        <v>0</v>
      </c>
      <c r="J552" s="17">
        <f>MATCH(G552,I$535:I$559,0)</f>
        <v>0</v>
      </c>
      <c r="K552" s="6">
        <f>INDEX(B$535:B$559,J552,1)</f>
        <v>0</v>
      </c>
      <c r="L552" s="6">
        <f>L551+INDEX(C$535:C$559,J552,1)</f>
        <v>0</v>
      </c>
      <c r="M552" s="6">
        <f>M551+(K552-K551)*L551</f>
        <v>0</v>
      </c>
      <c r="N552" s="6">
        <f>IF((M551&gt;0)=(M552&gt;0),"",K552-M552/L551)</f>
        <v>0</v>
      </c>
      <c r="O552" s="10"/>
    </row>
    <row r="553" spans="1:15">
      <c r="A553" s="11" t="s">
        <v>1199</v>
      </c>
      <c r="B553" s="6">
        <f>B450</f>
        <v>0</v>
      </c>
      <c r="C553" s="6">
        <f>B485</f>
        <v>0</v>
      </c>
      <c r="D553" s="6">
        <f>IF(ISERROR(B553),C553,0)</f>
        <v>0</v>
      </c>
      <c r="E553" s="6">
        <f>MAX($B$509,B553)*C553</f>
        <v>0</v>
      </c>
      <c r="F553" s="17">
        <f>RANK(B553,B$535:B$559,1)</f>
        <v>0</v>
      </c>
      <c r="G553" s="28">
        <v>19</v>
      </c>
      <c r="H553" s="17">
        <f>F553*25+G553</f>
        <v>0</v>
      </c>
      <c r="I553" s="17">
        <f>RANK(H553,H$535:H$559,1)</f>
        <v>0</v>
      </c>
      <c r="J553" s="17">
        <f>MATCH(G553,I$535:I$559,0)</f>
        <v>0</v>
      </c>
      <c r="K553" s="6">
        <f>INDEX(B$535:B$559,J553,1)</f>
        <v>0</v>
      </c>
      <c r="L553" s="6">
        <f>L552+INDEX(C$535:C$559,J553,1)</f>
        <v>0</v>
      </c>
      <c r="M553" s="6">
        <f>M552+(K553-K552)*L552</f>
        <v>0</v>
      </c>
      <c r="N553" s="6">
        <f>IF((M552&gt;0)=(M553&gt;0),"",K553-M553/L552)</f>
        <v>0</v>
      </c>
      <c r="O553" s="10"/>
    </row>
    <row r="554" spans="1:15">
      <c r="A554" s="11" t="s">
        <v>1200</v>
      </c>
      <c r="B554" s="6">
        <f>B451</f>
        <v>0</v>
      </c>
      <c r="C554" s="6">
        <f>B486</f>
        <v>0</v>
      </c>
      <c r="D554" s="6">
        <f>IF(ISERROR(B554),C554,0)</f>
        <v>0</v>
      </c>
      <c r="E554" s="6">
        <f>MAX($B$509,B554)*C554</f>
        <v>0</v>
      </c>
      <c r="F554" s="17">
        <f>RANK(B554,B$535:B$559,1)</f>
        <v>0</v>
      </c>
      <c r="G554" s="28">
        <v>20</v>
      </c>
      <c r="H554" s="17">
        <f>F554*25+G554</f>
        <v>0</v>
      </c>
      <c r="I554" s="17">
        <f>RANK(H554,H$535:H$559,1)</f>
        <v>0</v>
      </c>
      <c r="J554" s="17">
        <f>MATCH(G554,I$535:I$559,0)</f>
        <v>0</v>
      </c>
      <c r="K554" s="6">
        <f>INDEX(B$535:B$559,J554,1)</f>
        <v>0</v>
      </c>
      <c r="L554" s="6">
        <f>L553+INDEX(C$535:C$559,J554,1)</f>
        <v>0</v>
      </c>
      <c r="M554" s="6">
        <f>M553+(K554-K553)*L553</f>
        <v>0</v>
      </c>
      <c r="N554" s="6">
        <f>IF((M553&gt;0)=(M554&gt;0),"",K554-M554/L553)</f>
        <v>0</v>
      </c>
      <c r="O554" s="10"/>
    </row>
    <row r="555" spans="1:15">
      <c r="A555" s="11" t="s">
        <v>1201</v>
      </c>
      <c r="B555" s="6">
        <f>B452</f>
        <v>0</v>
      </c>
      <c r="C555" s="6">
        <f>B487</f>
        <v>0</v>
      </c>
      <c r="D555" s="6">
        <f>IF(ISERROR(B555),C555,0)</f>
        <v>0</v>
      </c>
      <c r="E555" s="6">
        <f>MAX($B$509,B555)*C555</f>
        <v>0</v>
      </c>
      <c r="F555" s="17">
        <f>RANK(B555,B$535:B$559,1)</f>
        <v>0</v>
      </c>
      <c r="G555" s="28">
        <v>21</v>
      </c>
      <c r="H555" s="17">
        <f>F555*25+G555</f>
        <v>0</v>
      </c>
      <c r="I555" s="17">
        <f>RANK(H555,H$535:H$559,1)</f>
        <v>0</v>
      </c>
      <c r="J555" s="17">
        <f>MATCH(G555,I$535:I$559,0)</f>
        <v>0</v>
      </c>
      <c r="K555" s="6">
        <f>INDEX(B$535:B$559,J555,1)</f>
        <v>0</v>
      </c>
      <c r="L555" s="6">
        <f>L554+INDEX(C$535:C$559,J555,1)</f>
        <v>0</v>
      </c>
      <c r="M555" s="6">
        <f>M554+(K555-K554)*L554</f>
        <v>0</v>
      </c>
      <c r="N555" s="6">
        <f>IF((M554&gt;0)=(M555&gt;0),"",K555-M555/L554)</f>
        <v>0</v>
      </c>
      <c r="O555" s="10"/>
    </row>
    <row r="556" spans="1:15">
      <c r="A556" s="11" t="s">
        <v>1202</v>
      </c>
      <c r="B556" s="6">
        <f>B453</f>
        <v>0</v>
      </c>
      <c r="C556" s="6">
        <f>B488</f>
        <v>0</v>
      </c>
      <c r="D556" s="6">
        <f>IF(ISERROR(B556),C556,0)</f>
        <v>0</v>
      </c>
      <c r="E556" s="6">
        <f>MAX($B$509,B556)*C556</f>
        <v>0</v>
      </c>
      <c r="F556" s="17">
        <f>RANK(B556,B$535:B$559,1)</f>
        <v>0</v>
      </c>
      <c r="G556" s="28">
        <v>22</v>
      </c>
      <c r="H556" s="17">
        <f>F556*25+G556</f>
        <v>0</v>
      </c>
      <c r="I556" s="17">
        <f>RANK(H556,H$535:H$559,1)</f>
        <v>0</v>
      </c>
      <c r="J556" s="17">
        <f>MATCH(G556,I$535:I$559,0)</f>
        <v>0</v>
      </c>
      <c r="K556" s="6">
        <f>INDEX(B$535:B$559,J556,1)</f>
        <v>0</v>
      </c>
      <c r="L556" s="6">
        <f>L555+INDEX(C$535:C$559,J556,1)</f>
        <v>0</v>
      </c>
      <c r="M556" s="6">
        <f>M555+(K556-K555)*L555</f>
        <v>0</v>
      </c>
      <c r="N556" s="6">
        <f>IF((M555&gt;0)=(M556&gt;0),"",K556-M556/L555)</f>
        <v>0</v>
      </c>
      <c r="O556" s="10"/>
    </row>
    <row r="557" spans="1:15">
      <c r="A557" s="11" t="s">
        <v>1203</v>
      </c>
      <c r="B557" s="6">
        <f>B454</f>
        <v>0</v>
      </c>
      <c r="C557" s="6">
        <f>B489</f>
        <v>0</v>
      </c>
      <c r="D557" s="6">
        <f>IF(ISERROR(B557),C557,0)</f>
        <v>0</v>
      </c>
      <c r="E557" s="6">
        <f>MAX($B$509,B557)*C557</f>
        <v>0</v>
      </c>
      <c r="F557" s="17">
        <f>RANK(B557,B$535:B$559,1)</f>
        <v>0</v>
      </c>
      <c r="G557" s="28">
        <v>23</v>
      </c>
      <c r="H557" s="17">
        <f>F557*25+G557</f>
        <v>0</v>
      </c>
      <c r="I557" s="17">
        <f>RANK(H557,H$535:H$559,1)</f>
        <v>0</v>
      </c>
      <c r="J557" s="17">
        <f>MATCH(G557,I$535:I$559,0)</f>
        <v>0</v>
      </c>
      <c r="K557" s="6">
        <f>INDEX(B$535:B$559,J557,1)</f>
        <v>0</v>
      </c>
      <c r="L557" s="6">
        <f>L556+INDEX(C$535:C$559,J557,1)</f>
        <v>0</v>
      </c>
      <c r="M557" s="6">
        <f>M556+(K557-K556)*L556</f>
        <v>0</v>
      </c>
      <c r="N557" s="6">
        <f>IF((M556&gt;0)=(M557&gt;0),"",K557-M557/L556)</f>
        <v>0</v>
      </c>
      <c r="O557" s="10"/>
    </row>
    <row r="558" spans="1:15">
      <c r="A558" s="11" t="s">
        <v>1204</v>
      </c>
      <c r="B558" s="6">
        <f>B455</f>
        <v>0</v>
      </c>
      <c r="C558" s="6">
        <f>B490</f>
        <v>0</v>
      </c>
      <c r="D558" s="6">
        <f>IF(ISERROR(B558),C558,0)</f>
        <v>0</v>
      </c>
      <c r="E558" s="6">
        <f>MAX($B$509,B558)*C558</f>
        <v>0</v>
      </c>
      <c r="F558" s="17">
        <f>RANK(B558,B$535:B$559,1)</f>
        <v>0</v>
      </c>
      <c r="G558" s="28">
        <v>24</v>
      </c>
      <c r="H558" s="17">
        <f>F558*25+G558</f>
        <v>0</v>
      </c>
      <c r="I558" s="17">
        <f>RANK(H558,H$535:H$559,1)</f>
        <v>0</v>
      </c>
      <c r="J558" s="17">
        <f>MATCH(G558,I$535:I$559,0)</f>
        <v>0</v>
      </c>
      <c r="K558" s="6">
        <f>INDEX(B$535:B$559,J558,1)</f>
        <v>0</v>
      </c>
      <c r="L558" s="6">
        <f>L557+INDEX(C$535:C$559,J558,1)</f>
        <v>0</v>
      </c>
      <c r="M558" s="6">
        <f>M557+(K558-K557)*L557</f>
        <v>0</v>
      </c>
      <c r="N558" s="6">
        <f>IF((M557&gt;0)=(M558&gt;0),"",K558-M558/L557)</f>
        <v>0</v>
      </c>
      <c r="O558" s="10"/>
    </row>
    <row r="559" spans="1:15">
      <c r="A559" s="11" t="s">
        <v>1205</v>
      </c>
      <c r="B559" s="6">
        <f>B456</f>
        <v>0</v>
      </c>
      <c r="C559" s="6">
        <f>B491</f>
        <v>0</v>
      </c>
      <c r="D559" s="6">
        <f>IF(ISERROR(B559),C559,0)</f>
        <v>0</v>
      </c>
      <c r="E559" s="6">
        <f>MAX($B$509,B559)*C559</f>
        <v>0</v>
      </c>
      <c r="F559" s="17">
        <f>RANK(B559,B$535:B$559,1)</f>
        <v>0</v>
      </c>
      <c r="G559" s="28">
        <v>25</v>
      </c>
      <c r="H559" s="17">
        <f>F559*25+G559</f>
        <v>0</v>
      </c>
      <c r="I559" s="17">
        <f>RANK(H559,H$535:H$559,1)</f>
        <v>0</v>
      </c>
      <c r="J559" s="17">
        <f>MATCH(G559,I$535:I$559,0)</f>
        <v>0</v>
      </c>
      <c r="K559" s="6">
        <f>INDEX(B$535:B$559,J559,1)</f>
        <v>0</v>
      </c>
      <c r="L559" s="6">
        <f>L558+INDEX(C$535:C$559,J559,1)</f>
        <v>0</v>
      </c>
      <c r="M559" s="6">
        <f>M558+(K559-K558)*L558</f>
        <v>0</v>
      </c>
      <c r="N559" s="6">
        <f>IF((M558&gt;0)=(M559&gt;0),"",K559-M559/L558)</f>
        <v>0</v>
      </c>
      <c r="O559" s="10"/>
    </row>
    <row r="561" spans="1:3">
      <c r="A561" s="1" t="s">
        <v>1326</v>
      </c>
    </row>
    <row r="562" spans="1:3">
      <c r="A562" s="2" t="s">
        <v>349</v>
      </c>
    </row>
    <row r="563" spans="1:3">
      <c r="A563" s="12" t="s">
        <v>1327</v>
      </c>
    </row>
    <row r="564" spans="1:3">
      <c r="A564" s="2" t="s">
        <v>1258</v>
      </c>
    </row>
    <row r="566" spans="1:3">
      <c r="B566" s="3" t="s">
        <v>1328</v>
      </c>
    </row>
    <row r="567" spans="1:3">
      <c r="A567" s="11" t="s">
        <v>1328</v>
      </c>
      <c r="B567" s="6">
        <f>MIN($N$534:$N$559)</f>
        <v>0</v>
      </c>
      <c r="C567" s="10"/>
    </row>
    <row r="569" spans="1:3">
      <c r="A569" s="1" t="s">
        <v>1329</v>
      </c>
    </row>
    <row r="570" spans="1:3">
      <c r="A570" s="2" t="s">
        <v>349</v>
      </c>
    </row>
    <row r="571" spans="1:3">
      <c r="A571" s="12" t="s">
        <v>1330</v>
      </c>
    </row>
    <row r="572" spans="1:3">
      <c r="A572" s="26" t="s">
        <v>352</v>
      </c>
      <c r="B572" s="26" t="s">
        <v>482</v>
      </c>
    </row>
    <row r="573" spans="1:3">
      <c r="A573" s="26" t="s">
        <v>355</v>
      </c>
      <c r="B573" s="26" t="s">
        <v>1262</v>
      </c>
    </row>
    <row r="575" spans="1:3">
      <c r="B575" s="3" t="s">
        <v>1331</v>
      </c>
    </row>
    <row r="576" spans="1:3">
      <c r="A576" s="11" t="s">
        <v>172</v>
      </c>
      <c r="B576" s="9"/>
      <c r="C576" s="10"/>
    </row>
    <row r="577" spans="1:3">
      <c r="A577" s="11" t="s">
        <v>173</v>
      </c>
      <c r="B577" s="9"/>
      <c r="C577" s="10"/>
    </row>
    <row r="578" spans="1:3">
      <c r="A578" s="11" t="s">
        <v>210</v>
      </c>
      <c r="B578" s="9"/>
      <c r="C578" s="10"/>
    </row>
    <row r="579" spans="1:3">
      <c r="A579" s="11" t="s">
        <v>174</v>
      </c>
      <c r="B579" s="9"/>
      <c r="C579" s="10"/>
    </row>
    <row r="580" spans="1:3">
      <c r="A580" s="11" t="s">
        <v>175</v>
      </c>
      <c r="B580" s="9"/>
      <c r="C580" s="10"/>
    </row>
    <row r="581" spans="1:3">
      <c r="A581" s="11" t="s">
        <v>211</v>
      </c>
      <c r="B581" s="9"/>
      <c r="C581" s="10"/>
    </row>
    <row r="582" spans="1:3">
      <c r="A582" s="11" t="s">
        <v>176</v>
      </c>
      <c r="B582" s="9"/>
      <c r="C582" s="10"/>
    </row>
    <row r="583" spans="1:3">
      <c r="A583" s="11" t="s">
        <v>177</v>
      </c>
      <c r="B583" s="9"/>
      <c r="C583" s="10"/>
    </row>
    <row r="584" spans="1:3">
      <c r="A584" s="11" t="s">
        <v>191</v>
      </c>
      <c r="B584" s="9"/>
      <c r="C584" s="10"/>
    </row>
    <row r="585" spans="1:3">
      <c r="A585" s="11" t="s">
        <v>178</v>
      </c>
      <c r="B585" s="6">
        <f>0-'Aggreg'!G236</f>
        <v>0</v>
      </c>
      <c r="C585" s="10"/>
    </row>
    <row r="586" spans="1:3">
      <c r="A586" s="11" t="s">
        <v>179</v>
      </c>
      <c r="B586" s="6">
        <f>0-'Aggreg'!G237</f>
        <v>0</v>
      </c>
      <c r="C586" s="10"/>
    </row>
    <row r="587" spans="1:3">
      <c r="A587" s="11" t="s">
        <v>192</v>
      </c>
      <c r="B587" s="6">
        <f>0-'Aggreg'!G238</f>
        <v>0</v>
      </c>
      <c r="C587" s="10"/>
    </row>
    <row r="588" spans="1:3">
      <c r="A588" s="11" t="s">
        <v>212</v>
      </c>
      <c r="B588" s="9"/>
      <c r="C588" s="10"/>
    </row>
    <row r="589" spans="1:3">
      <c r="A589" s="11" t="s">
        <v>213</v>
      </c>
      <c r="B589" s="9"/>
      <c r="C589" s="10"/>
    </row>
    <row r="590" spans="1:3">
      <c r="A590" s="11" t="s">
        <v>214</v>
      </c>
      <c r="B590" s="9"/>
      <c r="C590" s="10"/>
    </row>
    <row r="591" spans="1:3">
      <c r="A591" s="11" t="s">
        <v>215</v>
      </c>
      <c r="B591" s="9"/>
      <c r="C591" s="10"/>
    </row>
    <row r="592" spans="1:3">
      <c r="A592" s="11" t="s">
        <v>216</v>
      </c>
      <c r="B592" s="9"/>
      <c r="C592" s="10"/>
    </row>
    <row r="593" spans="1:3">
      <c r="A593" s="11" t="s">
        <v>180</v>
      </c>
      <c r="B593" s="9"/>
      <c r="C593" s="10"/>
    </row>
    <row r="594" spans="1:3">
      <c r="A594" s="11" t="s">
        <v>181</v>
      </c>
      <c r="B594" s="9"/>
      <c r="C594" s="10"/>
    </row>
    <row r="595" spans="1:3">
      <c r="A595" s="11" t="s">
        <v>182</v>
      </c>
      <c r="B595" s="6">
        <f>0-'Aggreg'!G246</f>
        <v>0</v>
      </c>
      <c r="C595" s="10"/>
    </row>
    <row r="596" spans="1:3">
      <c r="A596" s="11" t="s">
        <v>183</v>
      </c>
      <c r="B596" s="6">
        <f>0-'Aggreg'!G247</f>
        <v>0</v>
      </c>
      <c r="C596" s="10"/>
    </row>
    <row r="597" spans="1:3">
      <c r="A597" s="11" t="s">
        <v>184</v>
      </c>
      <c r="B597" s="6">
        <f>0-'Aggreg'!G248</f>
        <v>0</v>
      </c>
      <c r="C597" s="10"/>
    </row>
    <row r="598" spans="1:3">
      <c r="A598" s="11" t="s">
        <v>185</v>
      </c>
      <c r="B598" s="6">
        <f>0-'Aggreg'!G249</f>
        <v>0</v>
      </c>
      <c r="C598" s="10"/>
    </row>
    <row r="599" spans="1:3">
      <c r="A599" s="11" t="s">
        <v>193</v>
      </c>
      <c r="B599" s="6">
        <f>0-'Aggreg'!G250</f>
        <v>0</v>
      </c>
      <c r="C599" s="10"/>
    </row>
    <row r="600" spans="1:3">
      <c r="A600" s="11" t="s">
        <v>194</v>
      </c>
      <c r="B600" s="6">
        <f>0-'Aggreg'!G251</f>
        <v>0</v>
      </c>
      <c r="C600" s="10"/>
    </row>
    <row r="602" spans="1:3">
      <c r="A602" s="1" t="s">
        <v>1332</v>
      </c>
    </row>
    <row r="603" spans="1:3">
      <c r="A603" s="2" t="s">
        <v>349</v>
      </c>
    </row>
    <row r="604" spans="1:3">
      <c r="A604" s="12" t="s">
        <v>1333</v>
      </c>
    </row>
    <row r="605" spans="1:3">
      <c r="A605" s="26" t="s">
        <v>352</v>
      </c>
      <c r="B605" s="26" t="s">
        <v>482</v>
      </c>
    </row>
    <row r="606" spans="1:3">
      <c r="A606" s="26" t="s">
        <v>355</v>
      </c>
      <c r="B606" s="26" t="s">
        <v>1334</v>
      </c>
    </row>
    <row r="608" spans="1:3">
      <c r="B608" s="3" t="s">
        <v>1335</v>
      </c>
    </row>
    <row r="609" spans="1:3">
      <c r="A609" s="11" t="s">
        <v>172</v>
      </c>
      <c r="B609" s="6">
        <f>'Loads'!G282*10</f>
        <v>0</v>
      </c>
      <c r="C609" s="10"/>
    </row>
    <row r="610" spans="1:3">
      <c r="A610" s="11" t="s">
        <v>173</v>
      </c>
      <c r="B610" s="6">
        <f>'Loads'!G283*10</f>
        <v>0</v>
      </c>
      <c r="C610" s="10"/>
    </row>
    <row r="611" spans="1:3">
      <c r="A611" s="11" t="s">
        <v>210</v>
      </c>
      <c r="B611" s="6">
        <f>'Loads'!G284*10</f>
        <v>0</v>
      </c>
      <c r="C611" s="10"/>
    </row>
    <row r="612" spans="1:3">
      <c r="A612" s="11" t="s">
        <v>174</v>
      </c>
      <c r="B612" s="6">
        <f>'Loads'!G285*10</f>
        <v>0</v>
      </c>
      <c r="C612" s="10"/>
    </row>
    <row r="613" spans="1:3">
      <c r="A613" s="11" t="s">
        <v>175</v>
      </c>
      <c r="B613" s="6">
        <f>'Loads'!G286*10</f>
        <v>0</v>
      </c>
      <c r="C613" s="10"/>
    </row>
    <row r="614" spans="1:3">
      <c r="A614" s="11" t="s">
        <v>211</v>
      </c>
      <c r="B614" s="6">
        <f>'Loads'!G287*10</f>
        <v>0</v>
      </c>
      <c r="C614" s="10"/>
    </row>
    <row r="615" spans="1:3">
      <c r="A615" s="11" t="s">
        <v>176</v>
      </c>
      <c r="B615" s="6">
        <f>'Loads'!G288*10</f>
        <v>0</v>
      </c>
      <c r="C615" s="10"/>
    </row>
    <row r="616" spans="1:3">
      <c r="A616" s="11" t="s">
        <v>177</v>
      </c>
      <c r="B616" s="6">
        <f>'Loads'!G289*10</f>
        <v>0</v>
      </c>
      <c r="C616" s="10"/>
    </row>
    <row r="617" spans="1:3">
      <c r="A617" s="11" t="s">
        <v>191</v>
      </c>
      <c r="B617" s="6">
        <f>'Loads'!G290*10</f>
        <v>0</v>
      </c>
      <c r="C617" s="10"/>
    </row>
    <row r="618" spans="1:3">
      <c r="A618" s="11" t="s">
        <v>178</v>
      </c>
      <c r="B618" s="6">
        <f>'Loads'!G291*10</f>
        <v>0</v>
      </c>
      <c r="C618" s="10"/>
    </row>
    <row r="619" spans="1:3">
      <c r="A619" s="11" t="s">
        <v>179</v>
      </c>
      <c r="B619" s="6">
        <f>'Loads'!G292*10</f>
        <v>0</v>
      </c>
      <c r="C619" s="10"/>
    </row>
    <row r="620" spans="1:3">
      <c r="A620" s="11" t="s">
        <v>192</v>
      </c>
      <c r="B620" s="6">
        <f>'Loads'!G293*10</f>
        <v>0</v>
      </c>
      <c r="C620" s="10"/>
    </row>
    <row r="621" spans="1:3">
      <c r="A621" s="11" t="s">
        <v>212</v>
      </c>
      <c r="B621" s="6">
        <f>'Loads'!G294*10</f>
        <v>0</v>
      </c>
      <c r="C621" s="10"/>
    </row>
    <row r="622" spans="1:3">
      <c r="A622" s="11" t="s">
        <v>213</v>
      </c>
      <c r="B622" s="6">
        <f>'Loads'!G295*10</f>
        <v>0</v>
      </c>
      <c r="C622" s="10"/>
    </row>
    <row r="623" spans="1:3">
      <c r="A623" s="11" t="s">
        <v>214</v>
      </c>
      <c r="B623" s="6">
        <f>'Loads'!G296*10</f>
        <v>0</v>
      </c>
      <c r="C623" s="10"/>
    </row>
    <row r="624" spans="1:3">
      <c r="A624" s="11" t="s">
        <v>215</v>
      </c>
      <c r="B624" s="6">
        <f>'Loads'!G297*10</f>
        <v>0</v>
      </c>
      <c r="C624" s="10"/>
    </row>
    <row r="625" spans="1:3">
      <c r="A625" s="11" t="s">
        <v>216</v>
      </c>
      <c r="B625" s="6">
        <f>'Loads'!G298*10</f>
        <v>0</v>
      </c>
      <c r="C625" s="10"/>
    </row>
    <row r="626" spans="1:3">
      <c r="A626" s="11" t="s">
        <v>180</v>
      </c>
      <c r="B626" s="6">
        <f>'Loads'!G299*10</f>
        <v>0</v>
      </c>
      <c r="C626" s="10"/>
    </row>
    <row r="627" spans="1:3">
      <c r="A627" s="11" t="s">
        <v>181</v>
      </c>
      <c r="B627" s="6">
        <f>'Loads'!G300*10</f>
        <v>0</v>
      </c>
      <c r="C627" s="10"/>
    </row>
    <row r="628" spans="1:3">
      <c r="A628" s="11" t="s">
        <v>182</v>
      </c>
      <c r="B628" s="6">
        <f>'Loads'!G301*10</f>
        <v>0</v>
      </c>
      <c r="C628" s="10"/>
    </row>
    <row r="629" spans="1:3">
      <c r="A629" s="11" t="s">
        <v>183</v>
      </c>
      <c r="B629" s="6">
        <f>'Loads'!G302*10</f>
        <v>0</v>
      </c>
      <c r="C629" s="10"/>
    </row>
    <row r="630" spans="1:3">
      <c r="A630" s="11" t="s">
        <v>184</v>
      </c>
      <c r="B630" s="6">
        <f>'Loads'!G303*10</f>
        <v>0</v>
      </c>
      <c r="C630" s="10"/>
    </row>
    <row r="631" spans="1:3">
      <c r="A631" s="11" t="s">
        <v>185</v>
      </c>
      <c r="B631" s="6">
        <f>'Loads'!G304*10</f>
        <v>0</v>
      </c>
      <c r="C631" s="10"/>
    </row>
    <row r="632" spans="1:3">
      <c r="A632" s="11" t="s">
        <v>193</v>
      </c>
      <c r="B632" s="6">
        <f>'Loads'!G305*10</f>
        <v>0</v>
      </c>
      <c r="C632" s="10"/>
    </row>
    <row r="633" spans="1:3">
      <c r="A633" s="11" t="s">
        <v>194</v>
      </c>
      <c r="B633" s="6">
        <f>'Loads'!G306*10</f>
        <v>0</v>
      </c>
      <c r="C633" s="10"/>
    </row>
    <row r="635" spans="1:3">
      <c r="A635" s="1" t="s">
        <v>1336</v>
      </c>
    </row>
    <row r="636" spans="1:3">
      <c r="A636" s="2" t="s">
        <v>349</v>
      </c>
    </row>
    <row r="637" spans="1:3">
      <c r="A637" s="12" t="s">
        <v>1337</v>
      </c>
    </row>
    <row r="638" spans="1:3">
      <c r="A638" s="12" t="s">
        <v>1338</v>
      </c>
    </row>
    <row r="639" spans="1:3">
      <c r="A639" s="2" t="s">
        <v>1270</v>
      </c>
    </row>
    <row r="641" spans="1:3">
      <c r="B641" s="3" t="s">
        <v>1141</v>
      </c>
    </row>
    <row r="642" spans="1:3">
      <c r="A642" s="11" t="s">
        <v>1141</v>
      </c>
      <c r="B642" s="6">
        <f>E72/SUM($B$609:$B$633)</f>
        <v>0</v>
      </c>
      <c r="C642" s="10"/>
    </row>
    <row r="644" spans="1:3">
      <c r="A644" s="1" t="s">
        <v>1339</v>
      </c>
    </row>
    <row r="645" spans="1:3">
      <c r="A645" s="2" t="s">
        <v>349</v>
      </c>
    </row>
    <row r="646" spans="1:3">
      <c r="A646" s="12" t="s">
        <v>1340</v>
      </c>
    </row>
    <row r="647" spans="1:3">
      <c r="A647" s="12" t="s">
        <v>1341</v>
      </c>
    </row>
    <row r="648" spans="1:3">
      <c r="A648" s="2" t="s">
        <v>1274</v>
      </c>
    </row>
    <row r="650" spans="1:3">
      <c r="B650" s="3" t="s">
        <v>1148</v>
      </c>
    </row>
    <row r="651" spans="1:3">
      <c r="A651" s="11" t="s">
        <v>1148</v>
      </c>
      <c r="B651" s="6">
        <f>MIN(B642,$B$576:$B$600)</f>
        <v>0</v>
      </c>
      <c r="C651" s="10"/>
    </row>
    <row r="653" spans="1:3">
      <c r="A653" s="1" t="s">
        <v>1342</v>
      </c>
    </row>
    <row r="654" spans="1:3">
      <c r="A654" s="2" t="s">
        <v>349</v>
      </c>
    </row>
    <row r="655" spans="1:3">
      <c r="A655" s="12" t="s">
        <v>1343</v>
      </c>
    </row>
    <row r="656" spans="1:3">
      <c r="A656" s="12" t="s">
        <v>1341</v>
      </c>
    </row>
    <row r="657" spans="1:14">
      <c r="A657" s="12" t="s">
        <v>1344</v>
      </c>
    </row>
    <row r="658" spans="1:14">
      <c r="A658" s="12" t="s">
        <v>1345</v>
      </c>
    </row>
    <row r="659" spans="1:14">
      <c r="A659" s="12" t="s">
        <v>1346</v>
      </c>
    </row>
    <row r="660" spans="1:14">
      <c r="A660" s="12" t="s">
        <v>1347</v>
      </c>
    </row>
    <row r="661" spans="1:14">
      <c r="A661" s="12" t="s">
        <v>1348</v>
      </c>
    </row>
    <row r="662" spans="1:14">
      <c r="A662" s="12" t="s">
        <v>1349</v>
      </c>
    </row>
    <row r="663" spans="1:14">
      <c r="A663" s="12" t="s">
        <v>1350</v>
      </c>
    </row>
    <row r="664" spans="1:14">
      <c r="A664" s="12" t="s">
        <v>1351</v>
      </c>
    </row>
    <row r="665" spans="1:14">
      <c r="A665" s="12" t="s">
        <v>1352</v>
      </c>
    </row>
    <row r="666" spans="1:14">
      <c r="A666" s="12" t="s">
        <v>1353</v>
      </c>
    </row>
    <row r="667" spans="1:14">
      <c r="A667" s="12" t="s">
        <v>1354</v>
      </c>
    </row>
    <row r="668" spans="1:14">
      <c r="A668" s="12" t="s">
        <v>1355</v>
      </c>
    </row>
    <row r="669" spans="1:14">
      <c r="A669" s="12" t="s">
        <v>1356</v>
      </c>
    </row>
    <row r="670" spans="1:14">
      <c r="A670" s="12" t="s">
        <v>1357</v>
      </c>
    </row>
    <row r="671" spans="1:14">
      <c r="A671" s="12" t="s">
        <v>1358</v>
      </c>
    </row>
    <row r="672" spans="1:14">
      <c r="A672" s="26" t="s">
        <v>352</v>
      </c>
      <c r="B672" s="26" t="s">
        <v>420</v>
      </c>
      <c r="C672" s="26" t="s">
        <v>420</v>
      </c>
      <c r="D672" s="26" t="s">
        <v>420</v>
      </c>
      <c r="E672" s="26" t="s">
        <v>420</v>
      </c>
      <c r="F672" s="26" t="s">
        <v>420</v>
      </c>
      <c r="G672" s="26" t="s">
        <v>353</v>
      </c>
      <c r="H672" s="26" t="s">
        <v>482</v>
      </c>
      <c r="I672" s="26" t="s">
        <v>420</v>
      </c>
      <c r="J672" s="26" t="s">
        <v>420</v>
      </c>
      <c r="K672" s="26" t="s">
        <v>420</v>
      </c>
      <c r="L672" s="26" t="s">
        <v>420</v>
      </c>
      <c r="M672" s="26" t="s">
        <v>420</v>
      </c>
      <c r="N672" s="26" t="s">
        <v>420</v>
      </c>
    </row>
    <row r="673" spans="1:15">
      <c r="A673" s="26" t="s">
        <v>355</v>
      </c>
      <c r="B673" s="26" t="s">
        <v>420</v>
      </c>
      <c r="C673" s="26" t="s">
        <v>420</v>
      </c>
      <c r="D673" s="26" t="s">
        <v>420</v>
      </c>
      <c r="E673" s="26" t="s">
        <v>420</v>
      </c>
      <c r="F673" s="26" t="s">
        <v>420</v>
      </c>
      <c r="G673" s="26" t="s">
        <v>356</v>
      </c>
      <c r="H673" s="26" t="s">
        <v>1292</v>
      </c>
      <c r="I673" s="26" t="s">
        <v>420</v>
      </c>
      <c r="J673" s="26" t="s">
        <v>420</v>
      </c>
      <c r="K673" s="26" t="s">
        <v>420</v>
      </c>
      <c r="L673" s="26" t="s">
        <v>420</v>
      </c>
      <c r="M673" s="26" t="s">
        <v>420</v>
      </c>
      <c r="N673" s="26" t="s">
        <v>420</v>
      </c>
    </row>
    <row r="675" spans="1:15">
      <c r="B675" s="3" t="s">
        <v>1169</v>
      </c>
      <c r="C675" s="3" t="s">
        <v>1170</v>
      </c>
      <c r="D675" s="3" t="s">
        <v>1171</v>
      </c>
      <c r="E675" s="3" t="s">
        <v>1172</v>
      </c>
      <c r="F675" s="3" t="s">
        <v>1173</v>
      </c>
      <c r="G675" s="3" t="s">
        <v>1174</v>
      </c>
      <c r="H675" s="3" t="s">
        <v>1175</v>
      </c>
      <c r="I675" s="3" t="s">
        <v>1176</v>
      </c>
      <c r="J675" s="3" t="s">
        <v>1177</v>
      </c>
      <c r="K675" s="3" t="s">
        <v>1178</v>
      </c>
      <c r="L675" s="3" t="s">
        <v>1179</v>
      </c>
      <c r="M675" s="3" t="s">
        <v>10</v>
      </c>
      <c r="N675" s="3" t="s">
        <v>1180</v>
      </c>
    </row>
    <row r="676" spans="1:15">
      <c r="A676" s="11" t="s">
        <v>1148</v>
      </c>
      <c r="B676" s="6">
        <f>B651</f>
        <v>0</v>
      </c>
      <c r="C676" s="9"/>
      <c r="D676" s="9"/>
      <c r="E676" s="9"/>
      <c r="F676" s="9"/>
      <c r="G676" s="28">
        <v>0</v>
      </c>
      <c r="H676" s="17">
        <f>F676*25+G676</f>
        <v>0</v>
      </c>
      <c r="I676" s="9"/>
      <c r="J676" s="9"/>
      <c r="K676" s="6">
        <f>B676</f>
        <v>0</v>
      </c>
      <c r="L676" s="6">
        <f>SUM(D$676:D$700)</f>
        <v>0</v>
      </c>
      <c r="M676" s="6">
        <f>SUM($E$676:$E$700)-$E$72</f>
        <v>0</v>
      </c>
      <c r="N676" s="6">
        <f>IF(M$676&gt;0,K676,IF(M$701&gt;0,"",$B$642))</f>
        <v>0</v>
      </c>
      <c r="O676" s="10"/>
    </row>
    <row r="677" spans="1:15">
      <c r="A677" s="11" t="s">
        <v>1181</v>
      </c>
      <c r="B677" s="6">
        <f>B576</f>
        <v>0</v>
      </c>
      <c r="C677" s="6">
        <f>B609</f>
        <v>0</v>
      </c>
      <c r="D677" s="6">
        <f>IF(ISERROR(B677),C677,0)</f>
        <v>0</v>
      </c>
      <c r="E677" s="6">
        <f>MAX($B$651,B677)*C677</f>
        <v>0</v>
      </c>
      <c r="F677" s="17">
        <f>RANK(B677,B$677:B$701,1)</f>
        <v>0</v>
      </c>
      <c r="G677" s="28">
        <v>1</v>
      </c>
      <c r="H677" s="17">
        <f>F677*25+G677</f>
        <v>0</v>
      </c>
      <c r="I677" s="17">
        <f>RANK(H677,H$677:H$701,1)</f>
        <v>0</v>
      </c>
      <c r="J677" s="17">
        <f>MATCH(G677,I$677:I$701,0)</f>
        <v>0</v>
      </c>
      <c r="K677" s="6">
        <f>INDEX(B$677:B$701,J677,1)</f>
        <v>0</v>
      </c>
      <c r="L677" s="6">
        <f>L676+INDEX(C$677:C$701,J677,1)</f>
        <v>0</v>
      </c>
      <c r="M677" s="6">
        <f>M676+(K677-K676)*L676</f>
        <v>0</v>
      </c>
      <c r="N677" s="6">
        <f>IF((M676&gt;0)=(M677&gt;0),"",K677-M677/L676)</f>
        <v>0</v>
      </c>
      <c r="O677" s="10"/>
    </row>
    <row r="678" spans="1:15">
      <c r="A678" s="11" t="s">
        <v>1182</v>
      </c>
      <c r="B678" s="6">
        <f>B577</f>
        <v>0</v>
      </c>
      <c r="C678" s="6">
        <f>B610</f>
        <v>0</v>
      </c>
      <c r="D678" s="6">
        <f>IF(ISERROR(B678),C678,0)</f>
        <v>0</v>
      </c>
      <c r="E678" s="6">
        <f>MAX($B$651,B678)*C678</f>
        <v>0</v>
      </c>
      <c r="F678" s="17">
        <f>RANK(B678,B$677:B$701,1)</f>
        <v>0</v>
      </c>
      <c r="G678" s="28">
        <v>2</v>
      </c>
      <c r="H678" s="17">
        <f>F678*25+G678</f>
        <v>0</v>
      </c>
      <c r="I678" s="17">
        <f>RANK(H678,H$677:H$701,1)</f>
        <v>0</v>
      </c>
      <c r="J678" s="17">
        <f>MATCH(G678,I$677:I$701,0)</f>
        <v>0</v>
      </c>
      <c r="K678" s="6">
        <f>INDEX(B$677:B$701,J678,1)</f>
        <v>0</v>
      </c>
      <c r="L678" s="6">
        <f>L677+INDEX(C$677:C$701,J678,1)</f>
        <v>0</v>
      </c>
      <c r="M678" s="6">
        <f>M677+(K678-K677)*L677</f>
        <v>0</v>
      </c>
      <c r="N678" s="6">
        <f>IF((M677&gt;0)=(M678&gt;0),"",K678-M678/L677)</f>
        <v>0</v>
      </c>
      <c r="O678" s="10"/>
    </row>
    <row r="679" spans="1:15">
      <c r="A679" s="11" t="s">
        <v>1183</v>
      </c>
      <c r="B679" s="6">
        <f>B578</f>
        <v>0</v>
      </c>
      <c r="C679" s="6">
        <f>B611</f>
        <v>0</v>
      </c>
      <c r="D679" s="6">
        <f>IF(ISERROR(B679),C679,0)</f>
        <v>0</v>
      </c>
      <c r="E679" s="6">
        <f>MAX($B$651,B679)*C679</f>
        <v>0</v>
      </c>
      <c r="F679" s="17">
        <f>RANK(B679,B$677:B$701,1)</f>
        <v>0</v>
      </c>
      <c r="G679" s="28">
        <v>3</v>
      </c>
      <c r="H679" s="17">
        <f>F679*25+G679</f>
        <v>0</v>
      </c>
      <c r="I679" s="17">
        <f>RANK(H679,H$677:H$701,1)</f>
        <v>0</v>
      </c>
      <c r="J679" s="17">
        <f>MATCH(G679,I$677:I$701,0)</f>
        <v>0</v>
      </c>
      <c r="K679" s="6">
        <f>INDEX(B$677:B$701,J679,1)</f>
        <v>0</v>
      </c>
      <c r="L679" s="6">
        <f>L678+INDEX(C$677:C$701,J679,1)</f>
        <v>0</v>
      </c>
      <c r="M679" s="6">
        <f>M678+(K679-K678)*L678</f>
        <v>0</v>
      </c>
      <c r="N679" s="6">
        <f>IF((M678&gt;0)=(M679&gt;0),"",K679-M679/L678)</f>
        <v>0</v>
      </c>
      <c r="O679" s="10"/>
    </row>
    <row r="680" spans="1:15">
      <c r="A680" s="11" t="s">
        <v>1184</v>
      </c>
      <c r="B680" s="6">
        <f>B579</f>
        <v>0</v>
      </c>
      <c r="C680" s="6">
        <f>B612</f>
        <v>0</v>
      </c>
      <c r="D680" s="6">
        <f>IF(ISERROR(B680),C680,0)</f>
        <v>0</v>
      </c>
      <c r="E680" s="6">
        <f>MAX($B$651,B680)*C680</f>
        <v>0</v>
      </c>
      <c r="F680" s="17">
        <f>RANK(B680,B$677:B$701,1)</f>
        <v>0</v>
      </c>
      <c r="G680" s="28">
        <v>4</v>
      </c>
      <c r="H680" s="17">
        <f>F680*25+G680</f>
        <v>0</v>
      </c>
      <c r="I680" s="17">
        <f>RANK(H680,H$677:H$701,1)</f>
        <v>0</v>
      </c>
      <c r="J680" s="17">
        <f>MATCH(G680,I$677:I$701,0)</f>
        <v>0</v>
      </c>
      <c r="K680" s="6">
        <f>INDEX(B$677:B$701,J680,1)</f>
        <v>0</v>
      </c>
      <c r="L680" s="6">
        <f>L679+INDEX(C$677:C$701,J680,1)</f>
        <v>0</v>
      </c>
      <c r="M680" s="6">
        <f>M679+(K680-K679)*L679</f>
        <v>0</v>
      </c>
      <c r="N680" s="6">
        <f>IF((M679&gt;0)=(M680&gt;0),"",K680-M680/L679)</f>
        <v>0</v>
      </c>
      <c r="O680" s="10"/>
    </row>
    <row r="681" spans="1:15">
      <c r="A681" s="11" t="s">
        <v>1185</v>
      </c>
      <c r="B681" s="6">
        <f>B580</f>
        <v>0</v>
      </c>
      <c r="C681" s="6">
        <f>B613</f>
        <v>0</v>
      </c>
      <c r="D681" s="6">
        <f>IF(ISERROR(B681),C681,0)</f>
        <v>0</v>
      </c>
      <c r="E681" s="6">
        <f>MAX($B$651,B681)*C681</f>
        <v>0</v>
      </c>
      <c r="F681" s="17">
        <f>RANK(B681,B$677:B$701,1)</f>
        <v>0</v>
      </c>
      <c r="G681" s="28">
        <v>5</v>
      </c>
      <c r="H681" s="17">
        <f>F681*25+G681</f>
        <v>0</v>
      </c>
      <c r="I681" s="17">
        <f>RANK(H681,H$677:H$701,1)</f>
        <v>0</v>
      </c>
      <c r="J681" s="17">
        <f>MATCH(G681,I$677:I$701,0)</f>
        <v>0</v>
      </c>
      <c r="K681" s="6">
        <f>INDEX(B$677:B$701,J681,1)</f>
        <v>0</v>
      </c>
      <c r="L681" s="6">
        <f>L680+INDEX(C$677:C$701,J681,1)</f>
        <v>0</v>
      </c>
      <c r="M681" s="6">
        <f>M680+(K681-K680)*L680</f>
        <v>0</v>
      </c>
      <c r="N681" s="6">
        <f>IF((M680&gt;0)=(M681&gt;0),"",K681-M681/L680)</f>
        <v>0</v>
      </c>
      <c r="O681" s="10"/>
    </row>
    <row r="682" spans="1:15">
      <c r="A682" s="11" t="s">
        <v>1186</v>
      </c>
      <c r="B682" s="6">
        <f>B581</f>
        <v>0</v>
      </c>
      <c r="C682" s="6">
        <f>B614</f>
        <v>0</v>
      </c>
      <c r="D682" s="6">
        <f>IF(ISERROR(B682),C682,0)</f>
        <v>0</v>
      </c>
      <c r="E682" s="6">
        <f>MAX($B$651,B682)*C682</f>
        <v>0</v>
      </c>
      <c r="F682" s="17">
        <f>RANK(B682,B$677:B$701,1)</f>
        <v>0</v>
      </c>
      <c r="G682" s="28">
        <v>6</v>
      </c>
      <c r="H682" s="17">
        <f>F682*25+G682</f>
        <v>0</v>
      </c>
      <c r="I682" s="17">
        <f>RANK(H682,H$677:H$701,1)</f>
        <v>0</v>
      </c>
      <c r="J682" s="17">
        <f>MATCH(G682,I$677:I$701,0)</f>
        <v>0</v>
      </c>
      <c r="K682" s="6">
        <f>INDEX(B$677:B$701,J682,1)</f>
        <v>0</v>
      </c>
      <c r="L682" s="6">
        <f>L681+INDEX(C$677:C$701,J682,1)</f>
        <v>0</v>
      </c>
      <c r="M682" s="6">
        <f>M681+(K682-K681)*L681</f>
        <v>0</v>
      </c>
      <c r="N682" s="6">
        <f>IF((M681&gt;0)=(M682&gt;0),"",K682-M682/L681)</f>
        <v>0</v>
      </c>
      <c r="O682" s="10"/>
    </row>
    <row r="683" spans="1:15">
      <c r="A683" s="11" t="s">
        <v>1187</v>
      </c>
      <c r="B683" s="6">
        <f>B582</f>
        <v>0</v>
      </c>
      <c r="C683" s="6">
        <f>B615</f>
        <v>0</v>
      </c>
      <c r="D683" s="6">
        <f>IF(ISERROR(B683),C683,0)</f>
        <v>0</v>
      </c>
      <c r="E683" s="6">
        <f>MAX($B$651,B683)*C683</f>
        <v>0</v>
      </c>
      <c r="F683" s="17">
        <f>RANK(B683,B$677:B$701,1)</f>
        <v>0</v>
      </c>
      <c r="G683" s="28">
        <v>7</v>
      </c>
      <c r="H683" s="17">
        <f>F683*25+G683</f>
        <v>0</v>
      </c>
      <c r="I683" s="17">
        <f>RANK(H683,H$677:H$701,1)</f>
        <v>0</v>
      </c>
      <c r="J683" s="17">
        <f>MATCH(G683,I$677:I$701,0)</f>
        <v>0</v>
      </c>
      <c r="K683" s="6">
        <f>INDEX(B$677:B$701,J683,1)</f>
        <v>0</v>
      </c>
      <c r="L683" s="6">
        <f>L682+INDEX(C$677:C$701,J683,1)</f>
        <v>0</v>
      </c>
      <c r="M683" s="6">
        <f>M682+(K683-K682)*L682</f>
        <v>0</v>
      </c>
      <c r="N683" s="6">
        <f>IF((M682&gt;0)=(M683&gt;0),"",K683-M683/L682)</f>
        <v>0</v>
      </c>
      <c r="O683" s="10"/>
    </row>
    <row r="684" spans="1:15">
      <c r="A684" s="11" t="s">
        <v>1188</v>
      </c>
      <c r="B684" s="6">
        <f>B583</f>
        <v>0</v>
      </c>
      <c r="C684" s="6">
        <f>B616</f>
        <v>0</v>
      </c>
      <c r="D684" s="6">
        <f>IF(ISERROR(B684),C684,0)</f>
        <v>0</v>
      </c>
      <c r="E684" s="6">
        <f>MAX($B$651,B684)*C684</f>
        <v>0</v>
      </c>
      <c r="F684" s="17">
        <f>RANK(B684,B$677:B$701,1)</f>
        <v>0</v>
      </c>
      <c r="G684" s="28">
        <v>8</v>
      </c>
      <c r="H684" s="17">
        <f>F684*25+G684</f>
        <v>0</v>
      </c>
      <c r="I684" s="17">
        <f>RANK(H684,H$677:H$701,1)</f>
        <v>0</v>
      </c>
      <c r="J684" s="17">
        <f>MATCH(G684,I$677:I$701,0)</f>
        <v>0</v>
      </c>
      <c r="K684" s="6">
        <f>INDEX(B$677:B$701,J684,1)</f>
        <v>0</v>
      </c>
      <c r="L684" s="6">
        <f>L683+INDEX(C$677:C$701,J684,1)</f>
        <v>0</v>
      </c>
      <c r="M684" s="6">
        <f>M683+(K684-K683)*L683</f>
        <v>0</v>
      </c>
      <c r="N684" s="6">
        <f>IF((M683&gt;0)=(M684&gt;0),"",K684-M684/L683)</f>
        <v>0</v>
      </c>
      <c r="O684" s="10"/>
    </row>
    <row r="685" spans="1:15">
      <c r="A685" s="11" t="s">
        <v>1189</v>
      </c>
      <c r="B685" s="6">
        <f>B584</f>
        <v>0</v>
      </c>
      <c r="C685" s="6">
        <f>B617</f>
        <v>0</v>
      </c>
      <c r="D685" s="6">
        <f>IF(ISERROR(B685),C685,0)</f>
        <v>0</v>
      </c>
      <c r="E685" s="6">
        <f>MAX($B$651,B685)*C685</f>
        <v>0</v>
      </c>
      <c r="F685" s="17">
        <f>RANK(B685,B$677:B$701,1)</f>
        <v>0</v>
      </c>
      <c r="G685" s="28">
        <v>9</v>
      </c>
      <c r="H685" s="17">
        <f>F685*25+G685</f>
        <v>0</v>
      </c>
      <c r="I685" s="17">
        <f>RANK(H685,H$677:H$701,1)</f>
        <v>0</v>
      </c>
      <c r="J685" s="17">
        <f>MATCH(G685,I$677:I$701,0)</f>
        <v>0</v>
      </c>
      <c r="K685" s="6">
        <f>INDEX(B$677:B$701,J685,1)</f>
        <v>0</v>
      </c>
      <c r="L685" s="6">
        <f>L684+INDEX(C$677:C$701,J685,1)</f>
        <v>0</v>
      </c>
      <c r="M685" s="6">
        <f>M684+(K685-K684)*L684</f>
        <v>0</v>
      </c>
      <c r="N685" s="6">
        <f>IF((M684&gt;0)=(M685&gt;0),"",K685-M685/L684)</f>
        <v>0</v>
      </c>
      <c r="O685" s="10"/>
    </row>
    <row r="686" spans="1:15">
      <c r="A686" s="11" t="s">
        <v>1190</v>
      </c>
      <c r="B686" s="6">
        <f>B585</f>
        <v>0</v>
      </c>
      <c r="C686" s="6">
        <f>B618</f>
        <v>0</v>
      </c>
      <c r="D686" s="6">
        <f>IF(ISERROR(B686),C686,0)</f>
        <v>0</v>
      </c>
      <c r="E686" s="6">
        <f>MAX($B$651,B686)*C686</f>
        <v>0</v>
      </c>
      <c r="F686" s="17">
        <f>RANK(B686,B$677:B$701,1)</f>
        <v>0</v>
      </c>
      <c r="G686" s="28">
        <v>10</v>
      </c>
      <c r="H686" s="17">
        <f>F686*25+G686</f>
        <v>0</v>
      </c>
      <c r="I686" s="17">
        <f>RANK(H686,H$677:H$701,1)</f>
        <v>0</v>
      </c>
      <c r="J686" s="17">
        <f>MATCH(G686,I$677:I$701,0)</f>
        <v>0</v>
      </c>
      <c r="K686" s="6">
        <f>INDEX(B$677:B$701,J686,1)</f>
        <v>0</v>
      </c>
      <c r="L686" s="6">
        <f>L685+INDEX(C$677:C$701,J686,1)</f>
        <v>0</v>
      </c>
      <c r="M686" s="6">
        <f>M685+(K686-K685)*L685</f>
        <v>0</v>
      </c>
      <c r="N686" s="6">
        <f>IF((M685&gt;0)=(M686&gt;0),"",K686-M686/L685)</f>
        <v>0</v>
      </c>
      <c r="O686" s="10"/>
    </row>
    <row r="687" spans="1:15">
      <c r="A687" s="11" t="s">
        <v>1191</v>
      </c>
      <c r="B687" s="6">
        <f>B586</f>
        <v>0</v>
      </c>
      <c r="C687" s="6">
        <f>B619</f>
        <v>0</v>
      </c>
      <c r="D687" s="6">
        <f>IF(ISERROR(B687),C687,0)</f>
        <v>0</v>
      </c>
      <c r="E687" s="6">
        <f>MAX($B$651,B687)*C687</f>
        <v>0</v>
      </c>
      <c r="F687" s="17">
        <f>RANK(B687,B$677:B$701,1)</f>
        <v>0</v>
      </c>
      <c r="G687" s="28">
        <v>11</v>
      </c>
      <c r="H687" s="17">
        <f>F687*25+G687</f>
        <v>0</v>
      </c>
      <c r="I687" s="17">
        <f>RANK(H687,H$677:H$701,1)</f>
        <v>0</v>
      </c>
      <c r="J687" s="17">
        <f>MATCH(G687,I$677:I$701,0)</f>
        <v>0</v>
      </c>
      <c r="K687" s="6">
        <f>INDEX(B$677:B$701,J687,1)</f>
        <v>0</v>
      </c>
      <c r="L687" s="6">
        <f>L686+INDEX(C$677:C$701,J687,1)</f>
        <v>0</v>
      </c>
      <c r="M687" s="6">
        <f>M686+(K687-K686)*L686</f>
        <v>0</v>
      </c>
      <c r="N687" s="6">
        <f>IF((M686&gt;0)=(M687&gt;0),"",K687-M687/L686)</f>
        <v>0</v>
      </c>
      <c r="O687" s="10"/>
    </row>
    <row r="688" spans="1:15">
      <c r="A688" s="11" t="s">
        <v>1192</v>
      </c>
      <c r="B688" s="6">
        <f>B587</f>
        <v>0</v>
      </c>
      <c r="C688" s="6">
        <f>B620</f>
        <v>0</v>
      </c>
      <c r="D688" s="6">
        <f>IF(ISERROR(B688),C688,0)</f>
        <v>0</v>
      </c>
      <c r="E688" s="6">
        <f>MAX($B$651,B688)*C688</f>
        <v>0</v>
      </c>
      <c r="F688" s="17">
        <f>RANK(B688,B$677:B$701,1)</f>
        <v>0</v>
      </c>
      <c r="G688" s="28">
        <v>12</v>
      </c>
      <c r="H688" s="17">
        <f>F688*25+G688</f>
        <v>0</v>
      </c>
      <c r="I688" s="17">
        <f>RANK(H688,H$677:H$701,1)</f>
        <v>0</v>
      </c>
      <c r="J688" s="17">
        <f>MATCH(G688,I$677:I$701,0)</f>
        <v>0</v>
      </c>
      <c r="K688" s="6">
        <f>INDEX(B$677:B$701,J688,1)</f>
        <v>0</v>
      </c>
      <c r="L688" s="6">
        <f>L687+INDEX(C$677:C$701,J688,1)</f>
        <v>0</v>
      </c>
      <c r="M688" s="6">
        <f>M687+(K688-K687)*L687</f>
        <v>0</v>
      </c>
      <c r="N688" s="6">
        <f>IF((M687&gt;0)=(M688&gt;0),"",K688-M688/L687)</f>
        <v>0</v>
      </c>
      <c r="O688" s="10"/>
    </row>
    <row r="689" spans="1:15">
      <c r="A689" s="11" t="s">
        <v>1193</v>
      </c>
      <c r="B689" s="6">
        <f>B588</f>
        <v>0</v>
      </c>
      <c r="C689" s="6">
        <f>B621</f>
        <v>0</v>
      </c>
      <c r="D689" s="6">
        <f>IF(ISERROR(B689),C689,0)</f>
        <v>0</v>
      </c>
      <c r="E689" s="6">
        <f>MAX($B$651,B689)*C689</f>
        <v>0</v>
      </c>
      <c r="F689" s="17">
        <f>RANK(B689,B$677:B$701,1)</f>
        <v>0</v>
      </c>
      <c r="G689" s="28">
        <v>13</v>
      </c>
      <c r="H689" s="17">
        <f>F689*25+G689</f>
        <v>0</v>
      </c>
      <c r="I689" s="17">
        <f>RANK(H689,H$677:H$701,1)</f>
        <v>0</v>
      </c>
      <c r="J689" s="17">
        <f>MATCH(G689,I$677:I$701,0)</f>
        <v>0</v>
      </c>
      <c r="K689" s="6">
        <f>INDEX(B$677:B$701,J689,1)</f>
        <v>0</v>
      </c>
      <c r="L689" s="6">
        <f>L688+INDEX(C$677:C$701,J689,1)</f>
        <v>0</v>
      </c>
      <c r="M689" s="6">
        <f>M688+(K689-K688)*L688</f>
        <v>0</v>
      </c>
      <c r="N689" s="6">
        <f>IF((M688&gt;0)=(M689&gt;0),"",K689-M689/L688)</f>
        <v>0</v>
      </c>
      <c r="O689" s="10"/>
    </row>
    <row r="690" spans="1:15">
      <c r="A690" s="11" t="s">
        <v>1194</v>
      </c>
      <c r="B690" s="6">
        <f>B589</f>
        <v>0</v>
      </c>
      <c r="C690" s="6">
        <f>B622</f>
        <v>0</v>
      </c>
      <c r="D690" s="6">
        <f>IF(ISERROR(B690),C690,0)</f>
        <v>0</v>
      </c>
      <c r="E690" s="6">
        <f>MAX($B$651,B690)*C690</f>
        <v>0</v>
      </c>
      <c r="F690" s="17">
        <f>RANK(B690,B$677:B$701,1)</f>
        <v>0</v>
      </c>
      <c r="G690" s="28">
        <v>14</v>
      </c>
      <c r="H690" s="17">
        <f>F690*25+G690</f>
        <v>0</v>
      </c>
      <c r="I690" s="17">
        <f>RANK(H690,H$677:H$701,1)</f>
        <v>0</v>
      </c>
      <c r="J690" s="17">
        <f>MATCH(G690,I$677:I$701,0)</f>
        <v>0</v>
      </c>
      <c r="K690" s="6">
        <f>INDEX(B$677:B$701,J690,1)</f>
        <v>0</v>
      </c>
      <c r="L690" s="6">
        <f>L689+INDEX(C$677:C$701,J690,1)</f>
        <v>0</v>
      </c>
      <c r="M690" s="6">
        <f>M689+(K690-K689)*L689</f>
        <v>0</v>
      </c>
      <c r="N690" s="6">
        <f>IF((M689&gt;0)=(M690&gt;0),"",K690-M690/L689)</f>
        <v>0</v>
      </c>
      <c r="O690" s="10"/>
    </row>
    <row r="691" spans="1:15">
      <c r="A691" s="11" t="s">
        <v>1195</v>
      </c>
      <c r="B691" s="6">
        <f>B590</f>
        <v>0</v>
      </c>
      <c r="C691" s="6">
        <f>B623</f>
        <v>0</v>
      </c>
      <c r="D691" s="6">
        <f>IF(ISERROR(B691),C691,0)</f>
        <v>0</v>
      </c>
      <c r="E691" s="6">
        <f>MAX($B$651,B691)*C691</f>
        <v>0</v>
      </c>
      <c r="F691" s="17">
        <f>RANK(B691,B$677:B$701,1)</f>
        <v>0</v>
      </c>
      <c r="G691" s="28">
        <v>15</v>
      </c>
      <c r="H691" s="17">
        <f>F691*25+G691</f>
        <v>0</v>
      </c>
      <c r="I691" s="17">
        <f>RANK(H691,H$677:H$701,1)</f>
        <v>0</v>
      </c>
      <c r="J691" s="17">
        <f>MATCH(G691,I$677:I$701,0)</f>
        <v>0</v>
      </c>
      <c r="K691" s="6">
        <f>INDEX(B$677:B$701,J691,1)</f>
        <v>0</v>
      </c>
      <c r="L691" s="6">
        <f>L690+INDEX(C$677:C$701,J691,1)</f>
        <v>0</v>
      </c>
      <c r="M691" s="6">
        <f>M690+(K691-K690)*L690</f>
        <v>0</v>
      </c>
      <c r="N691" s="6">
        <f>IF((M690&gt;0)=(M691&gt;0),"",K691-M691/L690)</f>
        <v>0</v>
      </c>
      <c r="O691" s="10"/>
    </row>
    <row r="692" spans="1:15">
      <c r="A692" s="11" t="s">
        <v>1196</v>
      </c>
      <c r="B692" s="6">
        <f>B591</f>
        <v>0</v>
      </c>
      <c r="C692" s="6">
        <f>B624</f>
        <v>0</v>
      </c>
      <c r="D692" s="6">
        <f>IF(ISERROR(B692),C692,0)</f>
        <v>0</v>
      </c>
      <c r="E692" s="6">
        <f>MAX($B$651,B692)*C692</f>
        <v>0</v>
      </c>
      <c r="F692" s="17">
        <f>RANK(B692,B$677:B$701,1)</f>
        <v>0</v>
      </c>
      <c r="G692" s="28">
        <v>16</v>
      </c>
      <c r="H692" s="17">
        <f>F692*25+G692</f>
        <v>0</v>
      </c>
      <c r="I692" s="17">
        <f>RANK(H692,H$677:H$701,1)</f>
        <v>0</v>
      </c>
      <c r="J692" s="17">
        <f>MATCH(G692,I$677:I$701,0)</f>
        <v>0</v>
      </c>
      <c r="K692" s="6">
        <f>INDEX(B$677:B$701,J692,1)</f>
        <v>0</v>
      </c>
      <c r="L692" s="6">
        <f>L691+INDEX(C$677:C$701,J692,1)</f>
        <v>0</v>
      </c>
      <c r="M692" s="6">
        <f>M691+(K692-K691)*L691</f>
        <v>0</v>
      </c>
      <c r="N692" s="6">
        <f>IF((M691&gt;0)=(M692&gt;0),"",K692-M692/L691)</f>
        <v>0</v>
      </c>
      <c r="O692" s="10"/>
    </row>
    <row r="693" spans="1:15">
      <c r="A693" s="11" t="s">
        <v>1197</v>
      </c>
      <c r="B693" s="6">
        <f>B592</f>
        <v>0</v>
      </c>
      <c r="C693" s="6">
        <f>B625</f>
        <v>0</v>
      </c>
      <c r="D693" s="6">
        <f>IF(ISERROR(B693),C693,0)</f>
        <v>0</v>
      </c>
      <c r="E693" s="6">
        <f>MAX($B$651,B693)*C693</f>
        <v>0</v>
      </c>
      <c r="F693" s="17">
        <f>RANK(B693,B$677:B$701,1)</f>
        <v>0</v>
      </c>
      <c r="G693" s="28">
        <v>17</v>
      </c>
      <c r="H693" s="17">
        <f>F693*25+G693</f>
        <v>0</v>
      </c>
      <c r="I693" s="17">
        <f>RANK(H693,H$677:H$701,1)</f>
        <v>0</v>
      </c>
      <c r="J693" s="17">
        <f>MATCH(G693,I$677:I$701,0)</f>
        <v>0</v>
      </c>
      <c r="K693" s="6">
        <f>INDEX(B$677:B$701,J693,1)</f>
        <v>0</v>
      </c>
      <c r="L693" s="6">
        <f>L692+INDEX(C$677:C$701,J693,1)</f>
        <v>0</v>
      </c>
      <c r="M693" s="6">
        <f>M692+(K693-K692)*L692</f>
        <v>0</v>
      </c>
      <c r="N693" s="6">
        <f>IF((M692&gt;0)=(M693&gt;0),"",K693-M693/L692)</f>
        <v>0</v>
      </c>
      <c r="O693" s="10"/>
    </row>
    <row r="694" spans="1:15">
      <c r="A694" s="11" t="s">
        <v>1198</v>
      </c>
      <c r="B694" s="6">
        <f>B593</f>
        <v>0</v>
      </c>
      <c r="C694" s="6">
        <f>B626</f>
        <v>0</v>
      </c>
      <c r="D694" s="6">
        <f>IF(ISERROR(B694),C694,0)</f>
        <v>0</v>
      </c>
      <c r="E694" s="6">
        <f>MAX($B$651,B694)*C694</f>
        <v>0</v>
      </c>
      <c r="F694" s="17">
        <f>RANK(B694,B$677:B$701,1)</f>
        <v>0</v>
      </c>
      <c r="G694" s="28">
        <v>18</v>
      </c>
      <c r="H694" s="17">
        <f>F694*25+G694</f>
        <v>0</v>
      </c>
      <c r="I694" s="17">
        <f>RANK(H694,H$677:H$701,1)</f>
        <v>0</v>
      </c>
      <c r="J694" s="17">
        <f>MATCH(G694,I$677:I$701,0)</f>
        <v>0</v>
      </c>
      <c r="K694" s="6">
        <f>INDEX(B$677:B$701,J694,1)</f>
        <v>0</v>
      </c>
      <c r="L694" s="6">
        <f>L693+INDEX(C$677:C$701,J694,1)</f>
        <v>0</v>
      </c>
      <c r="M694" s="6">
        <f>M693+(K694-K693)*L693</f>
        <v>0</v>
      </c>
      <c r="N694" s="6">
        <f>IF((M693&gt;0)=(M694&gt;0),"",K694-M694/L693)</f>
        <v>0</v>
      </c>
      <c r="O694" s="10"/>
    </row>
    <row r="695" spans="1:15">
      <c r="A695" s="11" t="s">
        <v>1199</v>
      </c>
      <c r="B695" s="6">
        <f>B594</f>
        <v>0</v>
      </c>
      <c r="C695" s="6">
        <f>B627</f>
        <v>0</v>
      </c>
      <c r="D695" s="6">
        <f>IF(ISERROR(B695),C695,0)</f>
        <v>0</v>
      </c>
      <c r="E695" s="6">
        <f>MAX($B$651,B695)*C695</f>
        <v>0</v>
      </c>
      <c r="F695" s="17">
        <f>RANK(B695,B$677:B$701,1)</f>
        <v>0</v>
      </c>
      <c r="G695" s="28">
        <v>19</v>
      </c>
      <c r="H695" s="17">
        <f>F695*25+G695</f>
        <v>0</v>
      </c>
      <c r="I695" s="17">
        <f>RANK(H695,H$677:H$701,1)</f>
        <v>0</v>
      </c>
      <c r="J695" s="17">
        <f>MATCH(G695,I$677:I$701,0)</f>
        <v>0</v>
      </c>
      <c r="K695" s="6">
        <f>INDEX(B$677:B$701,J695,1)</f>
        <v>0</v>
      </c>
      <c r="L695" s="6">
        <f>L694+INDEX(C$677:C$701,J695,1)</f>
        <v>0</v>
      </c>
      <c r="M695" s="6">
        <f>M694+(K695-K694)*L694</f>
        <v>0</v>
      </c>
      <c r="N695" s="6">
        <f>IF((M694&gt;0)=(M695&gt;0),"",K695-M695/L694)</f>
        <v>0</v>
      </c>
      <c r="O695" s="10"/>
    </row>
    <row r="696" spans="1:15">
      <c r="A696" s="11" t="s">
        <v>1200</v>
      </c>
      <c r="B696" s="6">
        <f>B595</f>
        <v>0</v>
      </c>
      <c r="C696" s="6">
        <f>B628</f>
        <v>0</v>
      </c>
      <c r="D696" s="6">
        <f>IF(ISERROR(B696),C696,0)</f>
        <v>0</v>
      </c>
      <c r="E696" s="6">
        <f>MAX($B$651,B696)*C696</f>
        <v>0</v>
      </c>
      <c r="F696" s="17">
        <f>RANK(B696,B$677:B$701,1)</f>
        <v>0</v>
      </c>
      <c r="G696" s="28">
        <v>20</v>
      </c>
      <c r="H696" s="17">
        <f>F696*25+G696</f>
        <v>0</v>
      </c>
      <c r="I696" s="17">
        <f>RANK(H696,H$677:H$701,1)</f>
        <v>0</v>
      </c>
      <c r="J696" s="17">
        <f>MATCH(G696,I$677:I$701,0)</f>
        <v>0</v>
      </c>
      <c r="K696" s="6">
        <f>INDEX(B$677:B$701,J696,1)</f>
        <v>0</v>
      </c>
      <c r="L696" s="6">
        <f>L695+INDEX(C$677:C$701,J696,1)</f>
        <v>0</v>
      </c>
      <c r="M696" s="6">
        <f>M695+(K696-K695)*L695</f>
        <v>0</v>
      </c>
      <c r="N696" s="6">
        <f>IF((M695&gt;0)=(M696&gt;0),"",K696-M696/L695)</f>
        <v>0</v>
      </c>
      <c r="O696" s="10"/>
    </row>
    <row r="697" spans="1:15">
      <c r="A697" s="11" t="s">
        <v>1201</v>
      </c>
      <c r="B697" s="6">
        <f>B596</f>
        <v>0</v>
      </c>
      <c r="C697" s="6">
        <f>B629</f>
        <v>0</v>
      </c>
      <c r="D697" s="6">
        <f>IF(ISERROR(B697),C697,0)</f>
        <v>0</v>
      </c>
      <c r="E697" s="6">
        <f>MAX($B$651,B697)*C697</f>
        <v>0</v>
      </c>
      <c r="F697" s="17">
        <f>RANK(B697,B$677:B$701,1)</f>
        <v>0</v>
      </c>
      <c r="G697" s="28">
        <v>21</v>
      </c>
      <c r="H697" s="17">
        <f>F697*25+G697</f>
        <v>0</v>
      </c>
      <c r="I697" s="17">
        <f>RANK(H697,H$677:H$701,1)</f>
        <v>0</v>
      </c>
      <c r="J697" s="17">
        <f>MATCH(G697,I$677:I$701,0)</f>
        <v>0</v>
      </c>
      <c r="K697" s="6">
        <f>INDEX(B$677:B$701,J697,1)</f>
        <v>0</v>
      </c>
      <c r="L697" s="6">
        <f>L696+INDEX(C$677:C$701,J697,1)</f>
        <v>0</v>
      </c>
      <c r="M697" s="6">
        <f>M696+(K697-K696)*L696</f>
        <v>0</v>
      </c>
      <c r="N697" s="6">
        <f>IF((M696&gt;0)=(M697&gt;0),"",K697-M697/L696)</f>
        <v>0</v>
      </c>
      <c r="O697" s="10"/>
    </row>
    <row r="698" spans="1:15">
      <c r="A698" s="11" t="s">
        <v>1202</v>
      </c>
      <c r="B698" s="6">
        <f>B597</f>
        <v>0</v>
      </c>
      <c r="C698" s="6">
        <f>B630</f>
        <v>0</v>
      </c>
      <c r="D698" s="6">
        <f>IF(ISERROR(B698),C698,0)</f>
        <v>0</v>
      </c>
      <c r="E698" s="6">
        <f>MAX($B$651,B698)*C698</f>
        <v>0</v>
      </c>
      <c r="F698" s="17">
        <f>RANK(B698,B$677:B$701,1)</f>
        <v>0</v>
      </c>
      <c r="G698" s="28">
        <v>22</v>
      </c>
      <c r="H698" s="17">
        <f>F698*25+G698</f>
        <v>0</v>
      </c>
      <c r="I698" s="17">
        <f>RANK(H698,H$677:H$701,1)</f>
        <v>0</v>
      </c>
      <c r="J698" s="17">
        <f>MATCH(G698,I$677:I$701,0)</f>
        <v>0</v>
      </c>
      <c r="K698" s="6">
        <f>INDEX(B$677:B$701,J698,1)</f>
        <v>0</v>
      </c>
      <c r="L698" s="6">
        <f>L697+INDEX(C$677:C$701,J698,1)</f>
        <v>0</v>
      </c>
      <c r="M698" s="6">
        <f>M697+(K698-K697)*L697</f>
        <v>0</v>
      </c>
      <c r="N698" s="6">
        <f>IF((M697&gt;0)=(M698&gt;0),"",K698-M698/L697)</f>
        <v>0</v>
      </c>
      <c r="O698" s="10"/>
    </row>
    <row r="699" spans="1:15">
      <c r="A699" s="11" t="s">
        <v>1203</v>
      </c>
      <c r="B699" s="6">
        <f>B598</f>
        <v>0</v>
      </c>
      <c r="C699" s="6">
        <f>B631</f>
        <v>0</v>
      </c>
      <c r="D699" s="6">
        <f>IF(ISERROR(B699),C699,0)</f>
        <v>0</v>
      </c>
      <c r="E699" s="6">
        <f>MAX($B$651,B699)*C699</f>
        <v>0</v>
      </c>
      <c r="F699" s="17">
        <f>RANK(B699,B$677:B$701,1)</f>
        <v>0</v>
      </c>
      <c r="G699" s="28">
        <v>23</v>
      </c>
      <c r="H699" s="17">
        <f>F699*25+G699</f>
        <v>0</v>
      </c>
      <c r="I699" s="17">
        <f>RANK(H699,H$677:H$701,1)</f>
        <v>0</v>
      </c>
      <c r="J699" s="17">
        <f>MATCH(G699,I$677:I$701,0)</f>
        <v>0</v>
      </c>
      <c r="K699" s="6">
        <f>INDEX(B$677:B$701,J699,1)</f>
        <v>0</v>
      </c>
      <c r="L699" s="6">
        <f>L698+INDEX(C$677:C$701,J699,1)</f>
        <v>0</v>
      </c>
      <c r="M699" s="6">
        <f>M698+(K699-K698)*L698</f>
        <v>0</v>
      </c>
      <c r="N699" s="6">
        <f>IF((M698&gt;0)=(M699&gt;0),"",K699-M699/L698)</f>
        <v>0</v>
      </c>
      <c r="O699" s="10"/>
    </row>
    <row r="700" spans="1:15">
      <c r="A700" s="11" t="s">
        <v>1204</v>
      </c>
      <c r="B700" s="6">
        <f>B599</f>
        <v>0</v>
      </c>
      <c r="C700" s="6">
        <f>B632</f>
        <v>0</v>
      </c>
      <c r="D700" s="6">
        <f>IF(ISERROR(B700),C700,0)</f>
        <v>0</v>
      </c>
      <c r="E700" s="6">
        <f>MAX($B$651,B700)*C700</f>
        <v>0</v>
      </c>
      <c r="F700" s="17">
        <f>RANK(B700,B$677:B$701,1)</f>
        <v>0</v>
      </c>
      <c r="G700" s="28">
        <v>24</v>
      </c>
      <c r="H700" s="17">
        <f>F700*25+G700</f>
        <v>0</v>
      </c>
      <c r="I700" s="17">
        <f>RANK(H700,H$677:H$701,1)</f>
        <v>0</v>
      </c>
      <c r="J700" s="17">
        <f>MATCH(G700,I$677:I$701,0)</f>
        <v>0</v>
      </c>
      <c r="K700" s="6">
        <f>INDEX(B$677:B$701,J700,1)</f>
        <v>0</v>
      </c>
      <c r="L700" s="6">
        <f>L699+INDEX(C$677:C$701,J700,1)</f>
        <v>0</v>
      </c>
      <c r="M700" s="6">
        <f>M699+(K700-K699)*L699</f>
        <v>0</v>
      </c>
      <c r="N700" s="6">
        <f>IF((M699&gt;0)=(M700&gt;0),"",K700-M700/L699)</f>
        <v>0</v>
      </c>
      <c r="O700" s="10"/>
    </row>
    <row r="701" spans="1:15">
      <c r="A701" s="11" t="s">
        <v>1205</v>
      </c>
      <c r="B701" s="6">
        <f>B600</f>
        <v>0</v>
      </c>
      <c r="C701" s="6">
        <f>B633</f>
        <v>0</v>
      </c>
      <c r="D701" s="6">
        <f>IF(ISERROR(B701),C701,0)</f>
        <v>0</v>
      </c>
      <c r="E701" s="6">
        <f>MAX($B$651,B701)*C701</f>
        <v>0</v>
      </c>
      <c r="F701" s="17">
        <f>RANK(B701,B$677:B$701,1)</f>
        <v>0</v>
      </c>
      <c r="G701" s="28">
        <v>25</v>
      </c>
      <c r="H701" s="17">
        <f>F701*25+G701</f>
        <v>0</v>
      </c>
      <c r="I701" s="17">
        <f>RANK(H701,H$677:H$701,1)</f>
        <v>0</v>
      </c>
      <c r="J701" s="17">
        <f>MATCH(G701,I$677:I$701,0)</f>
        <v>0</v>
      </c>
      <c r="K701" s="6">
        <f>INDEX(B$677:B$701,J701,1)</f>
        <v>0</v>
      </c>
      <c r="L701" s="6">
        <f>L700+INDEX(C$677:C$701,J701,1)</f>
        <v>0</v>
      </c>
      <c r="M701" s="6">
        <f>M700+(K701-K700)*L700</f>
        <v>0</v>
      </c>
      <c r="N701" s="6">
        <f>IF((M700&gt;0)=(M701&gt;0),"",K701-M701/L700)</f>
        <v>0</v>
      </c>
      <c r="O701" s="10"/>
    </row>
    <row r="703" spans="1:15">
      <c r="A703" s="1" t="s">
        <v>1359</v>
      </c>
    </row>
    <row r="704" spans="1:15">
      <c r="A704" s="2" t="s">
        <v>349</v>
      </c>
    </row>
    <row r="705" spans="1:3">
      <c r="A705" s="12" t="s">
        <v>1360</v>
      </c>
    </row>
    <row r="706" spans="1:3">
      <c r="A706" s="2" t="s">
        <v>1258</v>
      </c>
    </row>
    <row r="708" spans="1:3">
      <c r="B708" s="3" t="s">
        <v>1361</v>
      </c>
    </row>
    <row r="709" spans="1:3">
      <c r="A709" s="11" t="s">
        <v>1361</v>
      </c>
      <c r="B709" s="6">
        <f>MIN($N$676:$N$701)</f>
        <v>0</v>
      </c>
      <c r="C709" s="10"/>
    </row>
    <row r="711" spans="1:3">
      <c r="A711" s="1" t="s">
        <v>1362</v>
      </c>
    </row>
    <row r="712" spans="1:3">
      <c r="A712" s="2" t="s">
        <v>349</v>
      </c>
    </row>
    <row r="713" spans="1:3">
      <c r="A713" s="12" t="s">
        <v>991</v>
      </c>
    </row>
    <row r="714" spans="1:3">
      <c r="A714" s="12" t="s">
        <v>1144</v>
      </c>
    </row>
    <row r="715" spans="1:3">
      <c r="A715" s="12" t="s">
        <v>1363</v>
      </c>
    </row>
    <row r="716" spans="1:3">
      <c r="A716" s="12" t="s">
        <v>1364</v>
      </c>
    </row>
    <row r="717" spans="1:3">
      <c r="A717" s="12" t="s">
        <v>1365</v>
      </c>
    </row>
    <row r="718" spans="1:3">
      <c r="A718" s="12" t="s">
        <v>1366</v>
      </c>
    </row>
    <row r="719" spans="1:3">
      <c r="A719" s="12" t="s">
        <v>1367</v>
      </c>
    </row>
    <row r="720" spans="1:3">
      <c r="A720" s="12" t="s">
        <v>1368</v>
      </c>
    </row>
    <row r="721" spans="1:1">
      <c r="A721" s="12" t="s">
        <v>1369</v>
      </c>
    </row>
    <row r="722" spans="1:1">
      <c r="A722" s="12" t="s">
        <v>1370</v>
      </c>
    </row>
    <row r="723" spans="1:1">
      <c r="A723" s="12" t="s">
        <v>1371</v>
      </c>
    </row>
    <row r="724" spans="1:1">
      <c r="A724" s="12" t="s">
        <v>1372</v>
      </c>
    </row>
    <row r="725" spans="1:1">
      <c r="A725" s="12" t="s">
        <v>1373</v>
      </c>
    </row>
    <row r="726" spans="1:1">
      <c r="A726" s="12" t="s">
        <v>1374</v>
      </c>
    </row>
    <row r="727" spans="1:1">
      <c r="A727" s="12" t="s">
        <v>1375</v>
      </c>
    </row>
    <row r="728" spans="1:1">
      <c r="A728" s="12" t="s">
        <v>1376</v>
      </c>
    </row>
    <row r="729" spans="1:1">
      <c r="A729" s="12" t="s">
        <v>1377</v>
      </c>
    </row>
    <row r="730" spans="1:1">
      <c r="A730" s="12" t="s">
        <v>1378</v>
      </c>
    </row>
    <row r="731" spans="1:1">
      <c r="A731" s="12" t="s">
        <v>1379</v>
      </c>
    </row>
    <row r="732" spans="1:1">
      <c r="A732" s="12" t="s">
        <v>1380</v>
      </c>
    </row>
    <row r="733" spans="1:1">
      <c r="A733" s="12" t="s">
        <v>1381</v>
      </c>
    </row>
    <row r="734" spans="1:1">
      <c r="A734" s="12" t="s">
        <v>1382</v>
      </c>
    </row>
    <row r="735" spans="1:1">
      <c r="A735" s="12" t="s">
        <v>1383</v>
      </c>
    </row>
    <row r="736" spans="1:1">
      <c r="A736" s="12" t="s">
        <v>1384</v>
      </c>
    </row>
    <row r="737" spans="1:9">
      <c r="A737" s="12" t="s">
        <v>1385</v>
      </c>
    </row>
    <row r="738" spans="1:9">
      <c r="A738" s="26" t="s">
        <v>352</v>
      </c>
      <c r="B738" s="26" t="s">
        <v>482</v>
      </c>
      <c r="C738" s="26" t="s">
        <v>482</v>
      </c>
      <c r="D738" s="26" t="s">
        <v>482</v>
      </c>
      <c r="E738" s="26" t="s">
        <v>482</v>
      </c>
      <c r="F738" s="26" t="s">
        <v>482</v>
      </c>
      <c r="G738" s="26" t="s">
        <v>482</v>
      </c>
      <c r="H738" s="26" t="s">
        <v>482</v>
      </c>
    </row>
    <row r="739" spans="1:9">
      <c r="A739" s="26" t="s">
        <v>355</v>
      </c>
      <c r="B739" s="26" t="s">
        <v>1386</v>
      </c>
      <c r="C739" s="26" t="s">
        <v>1387</v>
      </c>
      <c r="D739" s="26" t="s">
        <v>1388</v>
      </c>
      <c r="E739" s="26" t="s">
        <v>1389</v>
      </c>
      <c r="F739" s="26" t="s">
        <v>1390</v>
      </c>
      <c r="G739" s="26" t="s">
        <v>1391</v>
      </c>
      <c r="H739" s="26" t="s">
        <v>1392</v>
      </c>
    </row>
    <row r="741" spans="1:9">
      <c r="B741" s="3" t="s">
        <v>1393</v>
      </c>
      <c r="C741" s="3" t="s">
        <v>1394</v>
      </c>
      <c r="D741" s="3" t="s">
        <v>1395</v>
      </c>
      <c r="E741" s="3" t="s">
        <v>1396</v>
      </c>
      <c r="F741" s="3" t="s">
        <v>1397</v>
      </c>
      <c r="G741" s="3" t="s">
        <v>1398</v>
      </c>
      <c r="H741" s="3" t="s">
        <v>1399</v>
      </c>
    </row>
    <row r="742" spans="1:9">
      <c r="A742" s="11" t="s">
        <v>172</v>
      </c>
      <c r="B742" s="6">
        <f>IF('Loads'!$B44&lt;0,0,MAX($B84,$B$278))</f>
        <v>0</v>
      </c>
      <c r="C742" s="9"/>
      <c r="D742" s="9"/>
      <c r="E742" s="6">
        <f>IF('Aggreg'!$E227&gt;0,MAX($B287,$B$422),0)</f>
        <v>0</v>
      </c>
      <c r="F742" s="9"/>
      <c r="G742" s="9"/>
      <c r="H742" s="17">
        <f>0.01*'Input'!F$58*($E742*'Loads'!E282+$F742*'Loads'!F282)+10*($B742*'Loads'!B282+$C742*'Loads'!C282+$D742*'Loads'!D282+$G742*'Loads'!G282)</f>
        <v>0</v>
      </c>
      <c r="I742" s="10"/>
    </row>
    <row r="743" spans="1:9">
      <c r="A743" s="11" t="s">
        <v>173</v>
      </c>
      <c r="B743" s="6">
        <f>IF('Loads'!$B45&lt;0,0,MAX($B85,$B$278))</f>
        <v>0</v>
      </c>
      <c r="C743" s="6">
        <f>IF('Loads'!$B45&lt;0,0,MAX($C85,$B$278))</f>
        <v>0</v>
      </c>
      <c r="D743" s="9"/>
      <c r="E743" s="6">
        <f>IF('Aggreg'!$E228&gt;0,MAX($B288,$B$422),0)</f>
        <v>0</v>
      </c>
      <c r="F743" s="9"/>
      <c r="G743" s="9"/>
      <c r="H743" s="17">
        <f>0.01*'Input'!F$58*($E743*'Loads'!E283+$F743*'Loads'!F283)+10*($B743*'Loads'!B283+$C743*'Loads'!C283+$D743*'Loads'!D283+$G743*'Loads'!G283)</f>
        <v>0</v>
      </c>
      <c r="I743" s="10"/>
    </row>
    <row r="744" spans="1:9">
      <c r="A744" s="11" t="s">
        <v>210</v>
      </c>
      <c r="B744" s="6">
        <f>IF('Loads'!$B46&lt;0,0,MAX($B86,$B$278))</f>
        <v>0</v>
      </c>
      <c r="C744" s="9"/>
      <c r="D744" s="9"/>
      <c r="E744" s="9"/>
      <c r="F744" s="9"/>
      <c r="G744" s="9"/>
      <c r="H744" s="17">
        <f>0.01*'Input'!F$58*($E744*'Loads'!E284+$F744*'Loads'!F284)+10*($B744*'Loads'!B284+$C744*'Loads'!C284+$D744*'Loads'!D284+$G744*'Loads'!G284)</f>
        <v>0</v>
      </c>
      <c r="I744" s="10"/>
    </row>
    <row r="745" spans="1:9">
      <c r="A745" s="11" t="s">
        <v>174</v>
      </c>
      <c r="B745" s="6">
        <f>IF('Loads'!$B47&lt;0,0,MAX($B87,$B$278))</f>
        <v>0</v>
      </c>
      <c r="C745" s="9"/>
      <c r="D745" s="9"/>
      <c r="E745" s="6">
        <f>IF('Aggreg'!$E230&gt;0,MAX($B290,$B$422),0)</f>
        <v>0</v>
      </c>
      <c r="F745" s="9"/>
      <c r="G745" s="9"/>
      <c r="H745" s="17">
        <f>0.01*'Input'!F$58*($E745*'Loads'!E285+$F745*'Loads'!F285)+10*($B745*'Loads'!B285+$C745*'Loads'!C285+$D745*'Loads'!D285+$G745*'Loads'!G285)</f>
        <v>0</v>
      </c>
      <c r="I745" s="10"/>
    </row>
    <row r="746" spans="1:9">
      <c r="A746" s="11" t="s">
        <v>175</v>
      </c>
      <c r="B746" s="6">
        <f>IF('Loads'!$B48&lt;0,0,MAX($B88,$B$278))</f>
        <v>0</v>
      </c>
      <c r="C746" s="6">
        <f>IF('Loads'!$B48&lt;0,0,MAX($C88,$B$278))</f>
        <v>0</v>
      </c>
      <c r="D746" s="9"/>
      <c r="E746" s="6">
        <f>IF('Aggreg'!$E231&gt;0,MAX($B291,$B$422),0)</f>
        <v>0</v>
      </c>
      <c r="F746" s="9"/>
      <c r="G746" s="9"/>
      <c r="H746" s="17">
        <f>0.01*'Input'!F$58*($E746*'Loads'!E286+$F746*'Loads'!F286)+10*($B746*'Loads'!B286+$C746*'Loads'!C286+$D746*'Loads'!D286+$G746*'Loads'!G286)</f>
        <v>0</v>
      </c>
      <c r="I746" s="10"/>
    </row>
    <row r="747" spans="1:9">
      <c r="A747" s="11" t="s">
        <v>211</v>
      </c>
      <c r="B747" s="6">
        <f>IF('Loads'!$B49&lt;0,0,MAX($B89,$B$278))</f>
        <v>0</v>
      </c>
      <c r="C747" s="9"/>
      <c r="D747" s="9"/>
      <c r="E747" s="9"/>
      <c r="F747" s="9"/>
      <c r="G747" s="9"/>
      <c r="H747" s="17">
        <f>0.01*'Input'!F$58*($E747*'Loads'!E287+$F747*'Loads'!F287)+10*($B747*'Loads'!B287+$C747*'Loads'!C287+$D747*'Loads'!D287+$G747*'Loads'!G287)</f>
        <v>0</v>
      </c>
      <c r="I747" s="10"/>
    </row>
    <row r="748" spans="1:9">
      <c r="A748" s="11" t="s">
        <v>176</v>
      </c>
      <c r="B748" s="6">
        <f>IF('Loads'!$B50&lt;0,0,MAX($B90,$B$278))</f>
        <v>0</v>
      </c>
      <c r="C748" s="6">
        <f>IF('Loads'!$B50&lt;0,0,MAX($C90,$B$278))</f>
        <v>0</v>
      </c>
      <c r="D748" s="9"/>
      <c r="E748" s="6">
        <f>IF('Aggreg'!$E233&gt;0,MAX($B293,$B$422),0)</f>
        <v>0</v>
      </c>
      <c r="F748" s="9"/>
      <c r="G748" s="9"/>
      <c r="H748" s="17">
        <f>0.01*'Input'!F$58*($E748*'Loads'!E288+$F748*'Loads'!F288)+10*($B748*'Loads'!B288+$C748*'Loads'!C288+$D748*'Loads'!D288+$G748*'Loads'!G288)</f>
        <v>0</v>
      </c>
      <c r="I748" s="10"/>
    </row>
    <row r="749" spans="1:9">
      <c r="A749" s="11" t="s">
        <v>177</v>
      </c>
      <c r="B749" s="6">
        <f>IF('Loads'!$B51&lt;0,0,MAX($B91,$B$278))</f>
        <v>0</v>
      </c>
      <c r="C749" s="6">
        <f>IF('Loads'!$B51&lt;0,0,MAX($C91,$B$278))</f>
        <v>0</v>
      </c>
      <c r="D749" s="9"/>
      <c r="E749" s="6">
        <f>IF('Aggreg'!$E234&gt;0,MAX($B294,$B$422),0)</f>
        <v>0</v>
      </c>
      <c r="F749" s="9"/>
      <c r="G749" s="9"/>
      <c r="H749" s="17">
        <f>0.01*'Input'!F$58*($E749*'Loads'!E289+$F749*'Loads'!F289)+10*($B749*'Loads'!B289+$C749*'Loads'!C289+$D749*'Loads'!D289+$G749*'Loads'!G289)</f>
        <v>0</v>
      </c>
      <c r="I749" s="10"/>
    </row>
    <row r="750" spans="1:9">
      <c r="A750" s="11" t="s">
        <v>191</v>
      </c>
      <c r="B750" s="6">
        <f>IF('Loads'!$B52&lt;0,0,MAX($B92,$B$278))</f>
        <v>0</v>
      </c>
      <c r="C750" s="6">
        <f>IF('Loads'!$B52&lt;0,0,MAX($C92,$B$278))</f>
        <v>0</v>
      </c>
      <c r="D750" s="9"/>
      <c r="E750" s="6">
        <f>IF('Aggreg'!$E235&gt;0,MAX($B295,$B$422),0)</f>
        <v>0</v>
      </c>
      <c r="F750" s="9"/>
      <c r="G750" s="9"/>
      <c r="H750" s="17">
        <f>0.01*'Input'!F$58*($E750*'Loads'!E290+$F750*'Loads'!F290)+10*($B750*'Loads'!B290+$C750*'Loads'!C290+$D750*'Loads'!D290+$G750*'Loads'!G290)</f>
        <v>0</v>
      </c>
      <c r="I750" s="10"/>
    </row>
    <row r="751" spans="1:9">
      <c r="A751" s="11" t="s">
        <v>178</v>
      </c>
      <c r="B751" s="6">
        <f>IF('Loads'!$B53&lt;0,0,MAX($B93,$B$278))</f>
        <v>0</v>
      </c>
      <c r="C751" s="6">
        <f>IF('Loads'!$B53&lt;0,0,MAX($C93,$B$278))</f>
        <v>0</v>
      </c>
      <c r="D751" s="6">
        <f>IF('Loads'!$B53&lt;0,0,MAX($D93,$B$278))</f>
        <v>0</v>
      </c>
      <c r="E751" s="6">
        <f>IF('Aggreg'!$E236&gt;0,MAX($B296,$B$422),0)</f>
        <v>0</v>
      </c>
      <c r="F751" s="6">
        <f>IF('Loads'!$B53&lt;0,0,MAX($B441,$B$567))</f>
        <v>0</v>
      </c>
      <c r="G751" s="6">
        <f>MAX($B585,$B$709)</f>
        <v>0</v>
      </c>
      <c r="H751" s="17">
        <f>0.01*'Input'!F$58*($E751*'Loads'!E291+$F751*'Loads'!F291)+10*($B751*'Loads'!B291+$C751*'Loads'!C291+$D751*'Loads'!D291+$G751*'Loads'!G291)</f>
        <v>0</v>
      </c>
      <c r="I751" s="10"/>
    </row>
    <row r="752" spans="1:9">
      <c r="A752" s="11" t="s">
        <v>179</v>
      </c>
      <c r="B752" s="6">
        <f>IF('Loads'!$B54&lt;0,0,MAX($B94,$B$278))</f>
        <v>0</v>
      </c>
      <c r="C752" s="6">
        <f>IF('Loads'!$B54&lt;0,0,MAX($C94,$B$278))</f>
        <v>0</v>
      </c>
      <c r="D752" s="6">
        <f>IF('Loads'!$B54&lt;0,0,MAX($D94,$B$278))</f>
        <v>0</v>
      </c>
      <c r="E752" s="6">
        <f>IF('Aggreg'!$E237&gt;0,MAX($B297,$B$422),0)</f>
        <v>0</v>
      </c>
      <c r="F752" s="6">
        <f>IF('Loads'!$B54&lt;0,0,MAX($B442,$B$567))</f>
        <v>0</v>
      </c>
      <c r="G752" s="6">
        <f>MAX($B586,$B$709)</f>
        <v>0</v>
      </c>
      <c r="H752" s="17">
        <f>0.01*'Input'!F$58*($E752*'Loads'!E292+$F752*'Loads'!F292)+10*($B752*'Loads'!B292+$C752*'Loads'!C292+$D752*'Loads'!D292+$G752*'Loads'!G292)</f>
        <v>0</v>
      </c>
      <c r="I752" s="10"/>
    </row>
    <row r="753" spans="1:9">
      <c r="A753" s="11" t="s">
        <v>192</v>
      </c>
      <c r="B753" s="6">
        <f>IF('Loads'!$B55&lt;0,0,MAX($B95,$B$278))</f>
        <v>0</v>
      </c>
      <c r="C753" s="6">
        <f>IF('Loads'!$B55&lt;0,0,MAX($C95,$B$278))</f>
        <v>0</v>
      </c>
      <c r="D753" s="6">
        <f>IF('Loads'!$B55&lt;0,0,MAX($D95,$B$278))</f>
        <v>0</v>
      </c>
      <c r="E753" s="6">
        <f>IF('Aggreg'!$E238&gt;0,MAX($B298,$B$422),0)</f>
        <v>0</v>
      </c>
      <c r="F753" s="6">
        <f>IF('Loads'!$B55&lt;0,0,MAX($B443,$B$567))</f>
        <v>0</v>
      </c>
      <c r="G753" s="6">
        <f>MAX($B587,$B$709)</f>
        <v>0</v>
      </c>
      <c r="H753" s="17">
        <f>0.01*'Input'!F$58*($E753*'Loads'!E293+$F753*'Loads'!F293)+10*($B753*'Loads'!B293+$C753*'Loads'!C293+$D753*'Loads'!D293+$G753*'Loads'!G293)</f>
        <v>0</v>
      </c>
      <c r="I753" s="10"/>
    </row>
    <row r="754" spans="1:9">
      <c r="A754" s="11" t="s">
        <v>212</v>
      </c>
      <c r="B754" s="6">
        <f>IF('Loads'!$B56&lt;0,0,MAX($B96,$B$278))</f>
        <v>0</v>
      </c>
      <c r="C754" s="9"/>
      <c r="D754" s="9"/>
      <c r="E754" s="9"/>
      <c r="F754" s="9"/>
      <c r="G754" s="9"/>
      <c r="H754" s="17">
        <f>0.01*'Input'!F$58*($E754*'Loads'!E294+$F754*'Loads'!F294)+10*($B754*'Loads'!B294+$C754*'Loads'!C294+$D754*'Loads'!D294+$G754*'Loads'!G294)</f>
        <v>0</v>
      </c>
      <c r="I754" s="10"/>
    </row>
    <row r="755" spans="1:9">
      <c r="A755" s="11" t="s">
        <v>213</v>
      </c>
      <c r="B755" s="6">
        <f>IF('Loads'!$B57&lt;0,0,MAX($B97,$B$278))</f>
        <v>0</v>
      </c>
      <c r="C755" s="9"/>
      <c r="D755" s="9"/>
      <c r="E755" s="9"/>
      <c r="F755" s="9"/>
      <c r="G755" s="9"/>
      <c r="H755" s="17">
        <f>0.01*'Input'!F$58*($E755*'Loads'!E295+$F755*'Loads'!F295)+10*($B755*'Loads'!B295+$C755*'Loads'!C295+$D755*'Loads'!D295+$G755*'Loads'!G295)</f>
        <v>0</v>
      </c>
      <c r="I755" s="10"/>
    </row>
    <row r="756" spans="1:9">
      <c r="A756" s="11" t="s">
        <v>214</v>
      </c>
      <c r="B756" s="6">
        <f>IF('Loads'!$B58&lt;0,0,MAX($B98,$B$278))</f>
        <v>0</v>
      </c>
      <c r="C756" s="9"/>
      <c r="D756" s="9"/>
      <c r="E756" s="9"/>
      <c r="F756" s="9"/>
      <c r="G756" s="9"/>
      <c r="H756" s="17">
        <f>0.01*'Input'!F$58*($E756*'Loads'!E296+$F756*'Loads'!F296)+10*($B756*'Loads'!B296+$C756*'Loads'!C296+$D756*'Loads'!D296+$G756*'Loads'!G296)</f>
        <v>0</v>
      </c>
      <c r="I756" s="10"/>
    </row>
    <row r="757" spans="1:9">
      <c r="A757" s="11" t="s">
        <v>215</v>
      </c>
      <c r="B757" s="6">
        <f>IF('Loads'!$B59&lt;0,0,MAX($B99,$B$278))</f>
        <v>0</v>
      </c>
      <c r="C757" s="9"/>
      <c r="D757" s="9"/>
      <c r="E757" s="9"/>
      <c r="F757" s="9"/>
      <c r="G757" s="9"/>
      <c r="H757" s="17">
        <f>0.01*'Input'!F$58*($E757*'Loads'!E297+$F757*'Loads'!F297)+10*($B757*'Loads'!B297+$C757*'Loads'!C297+$D757*'Loads'!D297+$G757*'Loads'!G297)</f>
        <v>0</v>
      </c>
      <c r="I757" s="10"/>
    </row>
    <row r="758" spans="1:9">
      <c r="A758" s="11" t="s">
        <v>216</v>
      </c>
      <c r="B758" s="6">
        <f>IF('Loads'!$B60&lt;0,0,MAX($B100,$B$278))</f>
        <v>0</v>
      </c>
      <c r="C758" s="6">
        <f>IF('Loads'!$B60&lt;0,0,MAX($C100,$B$278))</f>
        <v>0</v>
      </c>
      <c r="D758" s="6">
        <f>IF('Loads'!$B60&lt;0,0,MAX($D100,$B$278))</f>
        <v>0</v>
      </c>
      <c r="E758" s="9"/>
      <c r="F758" s="9"/>
      <c r="G758" s="9"/>
      <c r="H758" s="17">
        <f>0.01*'Input'!F$58*($E758*'Loads'!E298+$F758*'Loads'!F298)+10*($B758*'Loads'!B298+$C758*'Loads'!C298+$D758*'Loads'!D298+$G758*'Loads'!G298)</f>
        <v>0</v>
      </c>
      <c r="I758" s="10"/>
    </row>
    <row r="759" spans="1:9">
      <c r="A759" s="11" t="s">
        <v>180</v>
      </c>
      <c r="B759" s="6">
        <f>IF('Loads'!$B61&lt;0,0,MAX($B101,$B$278))</f>
        <v>0</v>
      </c>
      <c r="C759" s="9"/>
      <c r="D759" s="9"/>
      <c r="E759" s="6">
        <f>IF('Aggreg'!$E244&gt;0,MAX($B304,$B$422),0)</f>
        <v>0</v>
      </c>
      <c r="F759" s="9"/>
      <c r="G759" s="9"/>
      <c r="H759" s="17">
        <f>0.01*'Input'!F$58*($E759*'Loads'!E299+$F759*'Loads'!F299)+10*($B759*'Loads'!B299+$C759*'Loads'!C299+$D759*'Loads'!D299+$G759*'Loads'!G299)</f>
        <v>0</v>
      </c>
      <c r="I759" s="10"/>
    </row>
    <row r="760" spans="1:9">
      <c r="A760" s="11" t="s">
        <v>181</v>
      </c>
      <c r="B760" s="6">
        <f>IF('Loads'!$B62&lt;0,0,MAX($B102,$B$278))</f>
        <v>0</v>
      </c>
      <c r="C760" s="9"/>
      <c r="D760" s="9"/>
      <c r="E760" s="6">
        <f>IF('Aggreg'!$E245&gt;0,MAX($B305,$B$422),0)</f>
        <v>0</v>
      </c>
      <c r="F760" s="9"/>
      <c r="G760" s="9"/>
      <c r="H760" s="17">
        <f>0.01*'Input'!F$58*($E760*'Loads'!E300+$F760*'Loads'!F300)+10*($B760*'Loads'!B300+$C760*'Loads'!C300+$D760*'Loads'!D300+$G760*'Loads'!G300)</f>
        <v>0</v>
      </c>
      <c r="I760" s="10"/>
    </row>
    <row r="761" spans="1:9">
      <c r="A761" s="11" t="s">
        <v>182</v>
      </c>
      <c r="B761" s="6">
        <f>IF('Loads'!$B63&lt;0,0,MAX($B103,$B$278))</f>
        <v>0</v>
      </c>
      <c r="C761" s="9"/>
      <c r="D761" s="9"/>
      <c r="E761" s="6">
        <f>IF('Aggreg'!$E246&gt;0,MAX($B306,$B$422),0)</f>
        <v>0</v>
      </c>
      <c r="F761" s="9"/>
      <c r="G761" s="6">
        <f>MAX($B595,$B$709)</f>
        <v>0</v>
      </c>
      <c r="H761" s="17">
        <f>0.01*'Input'!F$58*($E761*'Loads'!E301+$F761*'Loads'!F301)+10*($B761*'Loads'!B301+$C761*'Loads'!C301+$D761*'Loads'!D301+$G761*'Loads'!G301)</f>
        <v>0</v>
      </c>
      <c r="I761" s="10"/>
    </row>
    <row r="762" spans="1:9">
      <c r="A762" s="11" t="s">
        <v>183</v>
      </c>
      <c r="B762" s="6">
        <f>IF('Loads'!$B64&lt;0,0,MAX($B104,$B$278))</f>
        <v>0</v>
      </c>
      <c r="C762" s="6">
        <f>IF('Loads'!$B64&lt;0,0,MAX($C104,$B$278))</f>
        <v>0</v>
      </c>
      <c r="D762" s="6">
        <f>IF('Loads'!$B64&lt;0,0,MAX($D104,$B$278))</f>
        <v>0</v>
      </c>
      <c r="E762" s="6">
        <f>IF('Aggreg'!$E247&gt;0,MAX($B307,$B$422),0)</f>
        <v>0</v>
      </c>
      <c r="F762" s="9"/>
      <c r="G762" s="6">
        <f>MAX($B596,$B$709)</f>
        <v>0</v>
      </c>
      <c r="H762" s="17">
        <f>0.01*'Input'!F$58*($E762*'Loads'!E302+$F762*'Loads'!F302)+10*($B762*'Loads'!B302+$C762*'Loads'!C302+$D762*'Loads'!D302+$G762*'Loads'!G302)</f>
        <v>0</v>
      </c>
      <c r="I762" s="10"/>
    </row>
    <row r="763" spans="1:9">
      <c r="A763" s="11" t="s">
        <v>184</v>
      </c>
      <c r="B763" s="6">
        <f>IF('Loads'!$B65&lt;0,0,MAX($B105,$B$278))</f>
        <v>0</v>
      </c>
      <c r="C763" s="9"/>
      <c r="D763" s="9"/>
      <c r="E763" s="6">
        <f>IF('Aggreg'!$E248&gt;0,MAX($B308,$B$422),0)</f>
        <v>0</v>
      </c>
      <c r="F763" s="9"/>
      <c r="G763" s="6">
        <f>MAX($B597,$B$709)</f>
        <v>0</v>
      </c>
      <c r="H763" s="17">
        <f>0.01*'Input'!F$58*($E763*'Loads'!E303+$F763*'Loads'!F303)+10*($B763*'Loads'!B303+$C763*'Loads'!C303+$D763*'Loads'!D303+$G763*'Loads'!G303)</f>
        <v>0</v>
      </c>
      <c r="I763" s="10"/>
    </row>
    <row r="764" spans="1:9">
      <c r="A764" s="11" t="s">
        <v>185</v>
      </c>
      <c r="B764" s="6">
        <f>IF('Loads'!$B66&lt;0,0,MAX($B106,$B$278))</f>
        <v>0</v>
      </c>
      <c r="C764" s="6">
        <f>IF('Loads'!$B66&lt;0,0,MAX($C106,$B$278))</f>
        <v>0</v>
      </c>
      <c r="D764" s="6">
        <f>IF('Loads'!$B66&lt;0,0,MAX($D106,$B$278))</f>
        <v>0</v>
      </c>
      <c r="E764" s="6">
        <f>IF('Aggreg'!$E249&gt;0,MAX($B309,$B$422),0)</f>
        <v>0</v>
      </c>
      <c r="F764" s="9"/>
      <c r="G764" s="6">
        <f>MAX($B598,$B$709)</f>
        <v>0</v>
      </c>
      <c r="H764" s="17">
        <f>0.01*'Input'!F$58*($E764*'Loads'!E304+$F764*'Loads'!F304)+10*($B764*'Loads'!B304+$C764*'Loads'!C304+$D764*'Loads'!D304+$G764*'Loads'!G304)</f>
        <v>0</v>
      </c>
      <c r="I764" s="10"/>
    </row>
    <row r="765" spans="1:9">
      <c r="A765" s="11" t="s">
        <v>193</v>
      </c>
      <c r="B765" s="6">
        <f>IF('Loads'!$B67&lt;0,0,MAX($B107,$B$278))</f>
        <v>0</v>
      </c>
      <c r="C765" s="9"/>
      <c r="D765" s="9"/>
      <c r="E765" s="6">
        <f>IF('Aggreg'!$E250&gt;0,MAX($B310,$B$422),0)</f>
        <v>0</v>
      </c>
      <c r="F765" s="9"/>
      <c r="G765" s="6">
        <f>MAX($B599,$B$709)</f>
        <v>0</v>
      </c>
      <c r="H765" s="17">
        <f>0.01*'Input'!F$58*($E765*'Loads'!E305+$F765*'Loads'!F305)+10*($B765*'Loads'!B305+$C765*'Loads'!C305+$D765*'Loads'!D305+$G765*'Loads'!G305)</f>
        <v>0</v>
      </c>
      <c r="I765" s="10"/>
    </row>
    <row r="766" spans="1:9">
      <c r="A766" s="11" t="s">
        <v>194</v>
      </c>
      <c r="B766" s="6">
        <f>IF('Loads'!$B68&lt;0,0,MAX($B108,$B$278))</f>
        <v>0</v>
      </c>
      <c r="C766" s="6">
        <f>IF('Loads'!$B68&lt;0,0,MAX($C108,$B$278))</f>
        <v>0</v>
      </c>
      <c r="D766" s="6">
        <f>IF('Loads'!$B68&lt;0,0,MAX($D108,$B$278))</f>
        <v>0</v>
      </c>
      <c r="E766" s="6">
        <f>IF('Aggreg'!$E251&gt;0,MAX($B311,$B$422),0)</f>
        <v>0</v>
      </c>
      <c r="F766" s="9"/>
      <c r="G766" s="6">
        <f>MAX($B600,$B$709)</f>
        <v>0</v>
      </c>
      <c r="H766" s="17">
        <f>0.01*'Input'!F$58*($E766*'Loads'!E306+$F766*'Loads'!F306)+10*($B766*'Loads'!B306+$C766*'Loads'!C306+$D766*'Loads'!D306+$G766*'Loads'!G306)</f>
        <v>0</v>
      </c>
      <c r="I766" s="10"/>
    </row>
  </sheetData>
  <sheetProtection sheet="1" objects="1" scenarios="1"/>
  <hyperlinks>
    <hyperlink ref="A5" location="'Aggreg'!B226" display="x1 = 3307. Unit rate 1 p/kWh (total) (in Summary of charges before revenue matching)"/>
    <hyperlink ref="A6" location="'Loads'!B281" display="x2 = 2305. Rate 1 units (MWh) (in Equivalent volume for each end user)"/>
    <hyperlink ref="A7" location="'Aggreg'!C226" display="x3 = 3307. Unit rate 2 p/kWh (total) (in Summary of charges before revenue matching)"/>
    <hyperlink ref="A8" location="'Loads'!C281" display="x4 = 2305. Rate 2 units (MWh) (in Equivalent volume for each end user)"/>
    <hyperlink ref="A9" location="'Aggreg'!D226" display="x5 = 3307. Unit rate 3 p/kWh (total) (in Summary of charges before revenue matching)"/>
    <hyperlink ref="A10" location="'Loads'!D281" display="x6 = 2305. Rate 3 units (MWh) (in Equivalent volume for each end user)"/>
    <hyperlink ref="A11" location="'Input'!F57" display="x7 = 1010. Days in the charging year (in Financial and general assumptions)"/>
    <hyperlink ref="A12" location="'Aggreg'!E226" display="x8 = 3307. Fixed charge p/MPAN/day (total) (in Summary of charges before revenue matching)"/>
    <hyperlink ref="A13" location="'Loads'!E281" display="x9 = 2305. MPANs (in Equivalent volume for each end user)"/>
    <hyperlink ref="A14" location="'Loads'!B43" display="x10 = 2302. Load coefficient"/>
    <hyperlink ref="A15" location="'Aggreg'!F226" display="x11 = 3307. Capacity charge p/kVA/day (total) (in Summary of charges before revenue matching)"/>
    <hyperlink ref="A16" location="'Loads'!F281" display="x12 = 2305. Import capacity (kVA) (in Equivalent volume for each end user)"/>
    <hyperlink ref="A17" location="'Aggreg'!G226" display="x13 = 3307. Reactive power charge p/kVArh (in Summary of charges before revenue matching)"/>
    <hyperlink ref="A18" location="'Loads'!G281" display="x14 = 2305. Reactive power units (MVArh) (in Equivalent volume for each end user)"/>
    <hyperlink ref="A51" location="'Adder'!B22" display="x1 = 3501. Net revenues from active power unit rates before matching (£/year) (in Analysis of annual revenue by tariff before matching (£/year))"/>
    <hyperlink ref="A52" location="'Adder'!C22" display="x2 = 3501. Revenues from demand fixed charges before matching (£/year) (in Analysis of annual revenue by tariff before matching (£/year))"/>
    <hyperlink ref="A53" location="'Adder'!D22" display="x3 = 3501. Revenues from demand capacity charges before matching (£/year) (in Analysis of annual revenue by tariff before matching (£/year))"/>
    <hyperlink ref="A54" location="'Adder'!E22" display="x4 = 3501. Revenues from reactive power charges before matching (£/year) (in Analysis of annual revenue by tariff before matching (£/year))"/>
    <hyperlink ref="A63" location="'Revenue'!C63" display="x1 = 3403. Revenue shortfall (surplus) £ (in Revenue surplus or shortfall)"/>
    <hyperlink ref="A64" location="'Adder'!B58" display="x2 = 3502. Total net revenues from active power unit rates (£/year) (in Analysis of total annual revenue before matching (£/year))"/>
    <hyperlink ref="A65" location="'Adder'!C58" display="x3 = 3502. Total revenues from fixed charges (£/year) (in Analysis of total annual revenue before matching (£/year))"/>
    <hyperlink ref="A66" location="'Adder'!D58" display="x4 = 3502. Total revenues from demand capacity charges (£/year) (in Analysis of total annual revenue before matching (£/year))"/>
    <hyperlink ref="A67" location="'Adder'!E58" display="x5 = 3502. Total revenues from reactive power charges (£/year) (in Analysis of total annual revenue before matching (£/year))"/>
    <hyperlink ref="A76" location="'Loads'!B43" display="x1 = 2302. Load coefficient"/>
    <hyperlink ref="A77" location="'Aggreg'!B226" display="x2 = 3307. Unit rate 1 p/kWh (total) (in Summary of charges before revenue matching)"/>
    <hyperlink ref="A78" location="'Aggreg'!C226" display="x3 = 3307. Unit rate 2 p/kWh (total) (in Summary of charges before revenue matching)"/>
    <hyperlink ref="A79" location="'Aggreg'!D226" display="x4 = 3307. Unit rate 3 p/kWh (total) (in Summary of charges before revenue matching)"/>
    <hyperlink ref="A112" location="'Loads'!B43" display="x1 = 2302. Load coefficient"/>
    <hyperlink ref="A113" location="'Loads'!B281" display="x2 = 2305. Rate 1 units (MWh) (in Equivalent volume for each end user)"/>
    <hyperlink ref="A114" location="'Loads'!C281" display="x3 = 2305. Rate 2 units (MWh) (in Equivalent volume for each end user)"/>
    <hyperlink ref="A115" location="'Loads'!D281" display="x4 = 2305. Rate 3 units (MWh) (in Equivalent volume for each end user)"/>
    <hyperlink ref="A148" location="'Adder'!B71" display="x1 = 3503. Revenue matching target from unit rates (£/year) (in Allocation of matching revenue target (£/year))"/>
    <hyperlink ref="A149" location="'Adder'!B119" display="x2 = 3505. Effect through Unit rate 1 p/kWh (in Marginal revenue effect of adder)"/>
    <hyperlink ref="A150" location="'Adder'!C119" display="x3 = 3505. Effect through Unit rate 2 p/kWh (in Marginal revenue effect of adder)"/>
    <hyperlink ref="A151" location="'Adder'!D119" display="x4 = 3505. Effect through Unit rate 3 p/kWh (in Marginal revenue effect of adder)"/>
    <hyperlink ref="A159" location="'Adder'!B154" display="x1 = 3506. Constraint-free solution"/>
    <hyperlink ref="A160" location="'Adder'!B83" display="x2 = 3504. Adder threshold for Unit rate 1 p/kWh (in Adder value at which the minimum is breached)"/>
    <hyperlink ref="A161" location="'Adder'!C83" display="x3 = 3504. Adder threshold for Unit rate 2 p/kWh (in Adder value at which the minimum is breached)"/>
    <hyperlink ref="A162" location="'Adder'!D83" display="x4 = 3504. Adder threshold for Unit rate 3 p/kWh (in Adder value at which the minimum is breached)"/>
    <hyperlink ref="A170" location="'Adder'!B165" display="x1 = 3507. Starting point"/>
    <hyperlink ref="A171" location="'Adder'!B83" display="x2 = 3504. Adder threshold for Unit rate 1 p/kWh (in Adder value at which the minimum is breached)"/>
    <hyperlink ref="A172" location="'Adder'!C83" display="x3 = 3504. Adder threshold for Unit rate 2 p/kWh (in Adder value at which the minimum is breached)"/>
    <hyperlink ref="A173" location="'Adder'!D83" display="x4 = 3504. Adder threshold for Unit rate 3 p/kWh (in Adder value at which the minimum is breached)"/>
    <hyperlink ref="A174" location="'Adder'!B119" display="x5 = 3505. Effect through Unit rate 1 p/kWh (in Marginal revenue effect of adder)"/>
    <hyperlink ref="A175" location="'Adder'!C119" display="x6 = 3505. Effect through Unit rate 2 p/kWh (in Marginal revenue effect of adder)"/>
    <hyperlink ref="A176" location="'Adder'!D119" display="x7 = 3505. Effect through Unit rate 3 p/kWh (in Marginal revenue effect of adder)"/>
    <hyperlink ref="A177" location="'Adder'!B194" display="x8 = Location (in Solve for General adder rate (p/kWh))"/>
    <hyperlink ref="A178" location="'Adder'!C194" display="x9 = Kink (in Solve for General adder rate (p/kWh))"/>
    <hyperlink ref="A179" location="'Adder'!F194" display="x10 = Ranking before tie break (in Solve for General adder rate (p/kWh))"/>
    <hyperlink ref="A180" location="'Adder'!G194" display="x11 = Counter (in Solve for General adder rate (p/kWh))"/>
    <hyperlink ref="A181" location="'Adder'!H194" display="x12 = Tie breaker (in Solve for General adder rate (p/kWh))"/>
    <hyperlink ref="A182" location="'Adder'!I194" display="x13 = Ranking (in Solve for General adder rate (p/kWh))"/>
    <hyperlink ref="A183" location="'Adder'!J194" display="x14 = Kink reordering (in Solve for General adder rate (p/kWh))"/>
    <hyperlink ref="A184" location="'Adder'!D194" display="x15 = Starting slope contributions (in Solve for General adder rate (p/kWh))"/>
    <hyperlink ref="A185" location="'Adder'!L194" display="x16 = New slope (in Solve for General adder rate (p/kWh))"/>
    <hyperlink ref="A186" location="'Adder'!K194" display="x17 = Location (ordered) (in Solve for General adder rate (p/kWh))"/>
    <hyperlink ref="A187" location="'Adder'!E194" display="x18 = Starting values (in Solve for General adder rate (p/kWh))"/>
    <hyperlink ref="A188" location="'Adder'!B71" display="x19 = 3503. Revenue matching target from unit rates (£/year) (in Allocation of matching revenue target (£/year))"/>
    <hyperlink ref="A189" location="'Adder'!B154" display="x20 = 3506. Constraint-free solution"/>
    <hyperlink ref="A190" location="'Adder'!M194" display="x21 = Value (in Solve for General adder rate (p/kWh))"/>
    <hyperlink ref="A274" location="'Adder'!N194" display="x1 = 3508. Root (in Solve for General adder rate (p/kWh))"/>
    <hyperlink ref="A282" location="'Aggreg'!E226" display="x1 = 3307. Fixed charge p/MPAN/day (total) (in Summary of charges before revenue matching)"/>
    <hyperlink ref="A315" location="'Aggreg'!E226" display="x1 = 3307. Fixed charge p/MPAN/day (total) (in Summary of charges before revenue matching)"/>
    <hyperlink ref="A316" location="'Loads'!E281" display="x2 = 2305. MPANs (in Equivalent volume for each end user)"/>
    <hyperlink ref="A317" location="'Input'!F57" display="x3 = 1010. Days in the charging year (in Financial and general assumptions)"/>
    <hyperlink ref="A350" location="'Adder'!C71" display="x1 = 3503. Revenue matching target from fixed charges (£/year) (in Allocation of matching revenue target (£/year))"/>
    <hyperlink ref="A351" location="'Adder'!B321" display="x2 = 3511. Effect through Fixed charge p/MPAN/day (in Marginal revenue effect of adder)"/>
    <hyperlink ref="A359" location="'Adder'!B354" display="x1 = 3512. Constraint-free solution"/>
    <hyperlink ref="A360" location="'Adder'!B286" display="x2 = 3510. Adder threshold for Fixed charge p/MPAN/day (in Adder value at which the minimum is breached)"/>
    <hyperlink ref="A368" location="'Adder'!B363" display="x1 = 3513. Starting point"/>
    <hyperlink ref="A369" location="'Adder'!B286" display="x2 = 3510. Adder threshold for Fixed charge p/MPAN/day (in Adder value at which the minimum is breached)"/>
    <hyperlink ref="A370" location="'Adder'!B321" display="x3 = 3511. Effect through Fixed charge p/MPAN/day (in Marginal revenue effect of adder)"/>
    <hyperlink ref="A371" location="'Adder'!B388" display="x4 = Location (in Solve for General adder rate (p/MPAN/day))"/>
    <hyperlink ref="A372" location="'Adder'!C388" display="x5 = Kink (in Solve for General adder rate (p/MPAN/day))"/>
    <hyperlink ref="A373" location="'Adder'!F388" display="x6 = Ranking before tie break (in Solve for General adder rate (p/MPAN/day))"/>
    <hyperlink ref="A374" location="'Adder'!G388" display="x7 = Counter (in Solve for General adder rate (p/MPAN/day))"/>
    <hyperlink ref="A375" location="'Adder'!H388" display="x8 = Tie breaker (in Solve for General adder rate (p/MPAN/day))"/>
    <hyperlink ref="A376" location="'Adder'!I388" display="x9 = Ranking (in Solve for General adder rate (p/MPAN/day))"/>
    <hyperlink ref="A377" location="'Adder'!J388" display="x10 = Kink reordering (in Solve for General adder rate (p/MPAN/day))"/>
    <hyperlink ref="A378" location="'Adder'!D388" display="x11 = Starting slope contributions (in Solve for General adder rate (p/MPAN/day))"/>
    <hyperlink ref="A379" location="'Adder'!L388" display="x12 = New slope (in Solve for General adder rate (p/MPAN/day))"/>
    <hyperlink ref="A380" location="'Adder'!K388" display="x13 = Location (ordered) (in Solve for General adder rate (p/MPAN/day))"/>
    <hyperlink ref="A381" location="'Adder'!E388" display="x14 = Starting values (in Solve for General adder rate (p/MPAN/day))"/>
    <hyperlink ref="A382" location="'Adder'!C71" display="x15 = 3503. Revenue matching target from fixed charges (£/year) (in Allocation of matching revenue target (£/year))"/>
    <hyperlink ref="A383" location="'Adder'!B354" display="x16 = 3512. Constraint-free solution"/>
    <hyperlink ref="A384" location="'Adder'!M388" display="x17 = Value (in Solve for General adder rate (p/MPAN/day))"/>
    <hyperlink ref="A418" location="'Adder'!N388" display="x1 = 3514. Root (in Solve for General adder rate (p/MPAN/day))"/>
    <hyperlink ref="A426" location="'Loads'!B43" display="x1 = 2302. Load coefficient"/>
    <hyperlink ref="A427" location="'Aggreg'!F226" display="x2 = 3307. Capacity charge p/kVA/day (total) (in Summary of charges before revenue matching)"/>
    <hyperlink ref="A460" location="'Loads'!B43" display="x1 = 2302. Load coefficient"/>
    <hyperlink ref="A461" location="'Loads'!F281" display="x2 = 2305. Import capacity (kVA) (in Equivalent volume for each end user)"/>
    <hyperlink ref="A462" location="'Input'!F57" display="x3 = 1010. Days in the charging year (in Financial and general assumptions)"/>
    <hyperlink ref="A495" location="'Adder'!D71" display="x1 = 3503. Revenue matching target from capacity charges (£/year) (in Allocation of matching revenue target (£/year))"/>
    <hyperlink ref="A496" location="'Adder'!B466" display="x2 = 3517. Effect through Capacity charge p/kVA/day (in Marginal revenue effect of adder)"/>
    <hyperlink ref="A504" location="'Adder'!B499" display="x1 = 3518. Constraint-free solution"/>
    <hyperlink ref="A505" location="'Adder'!B431" display="x2 = 3516. Adder threshold for Capacity charge p/kVA/day (in Adder value at which the minimum is breached)"/>
    <hyperlink ref="A513" location="'Adder'!B508" display="x1 = 3519. Starting point"/>
    <hyperlink ref="A514" location="'Adder'!B431" display="x2 = 3516. Adder threshold for Capacity charge p/kVA/day (in Adder value at which the minimum is breached)"/>
    <hyperlink ref="A515" location="'Adder'!B466" display="x3 = 3517. Effect through Capacity charge p/kVA/day (in Marginal revenue effect of adder)"/>
    <hyperlink ref="A516" location="'Adder'!B533" display="x4 = Location (in Solve for General adder rate (p/kVA/day))"/>
    <hyperlink ref="A517" location="'Adder'!C533" display="x5 = Kink (in Solve for General adder rate (p/kVA/day))"/>
    <hyperlink ref="A518" location="'Adder'!F533" display="x6 = Ranking before tie break (in Solve for General adder rate (p/kVA/day))"/>
    <hyperlink ref="A519" location="'Adder'!G533" display="x7 = Counter (in Solve for General adder rate (p/kVA/day))"/>
    <hyperlink ref="A520" location="'Adder'!H533" display="x8 = Tie breaker (in Solve for General adder rate (p/kVA/day))"/>
    <hyperlink ref="A521" location="'Adder'!I533" display="x9 = Ranking (in Solve for General adder rate (p/kVA/day))"/>
    <hyperlink ref="A522" location="'Adder'!J533" display="x10 = Kink reordering (in Solve for General adder rate (p/kVA/day))"/>
    <hyperlink ref="A523" location="'Adder'!D533" display="x11 = Starting slope contributions (in Solve for General adder rate (p/kVA/day))"/>
    <hyperlink ref="A524" location="'Adder'!L533" display="x12 = New slope (in Solve for General adder rate (p/kVA/day))"/>
    <hyperlink ref="A525" location="'Adder'!K533" display="x13 = Location (ordered) (in Solve for General adder rate (p/kVA/day))"/>
    <hyperlink ref="A526" location="'Adder'!E533" display="x14 = Starting values (in Solve for General adder rate (p/kVA/day))"/>
    <hyperlink ref="A527" location="'Adder'!D71" display="x15 = 3503. Revenue matching target from capacity charges (£/year) (in Allocation of matching revenue target (£/year))"/>
    <hyperlink ref="A528" location="'Adder'!B499" display="x16 = 3518. Constraint-free solution"/>
    <hyperlink ref="A529" location="'Adder'!M533" display="x17 = Value (in Solve for General adder rate (p/kVA/day))"/>
    <hyperlink ref="A563" location="'Adder'!N533" display="x1 = 3520. Root (in Solve for General adder rate (p/kVA/day))"/>
    <hyperlink ref="A571" location="'Aggreg'!G226" display="x1 = 3307. Reactive power charge p/kVArh (in Summary of charges before revenue matching)"/>
    <hyperlink ref="A604" location="'Loads'!G281" display="x1 = 2305. Reactive power units (MVArh) (in Equivalent volume for each end user)"/>
    <hyperlink ref="A637" location="'Adder'!E71" display="x1 = 3503. Revenue matching target from reactive power charges (£/year) (in Allocation of matching revenue target (£/year))"/>
    <hyperlink ref="A638" location="'Adder'!B608" display="x2 = 3523. Effect through Reactive power charge p/kVArh (in Marginal revenue effect of adder)"/>
    <hyperlink ref="A646" location="'Adder'!B641" display="x1 = 3524. Constraint-free solution"/>
    <hyperlink ref="A647" location="'Adder'!B575" display="x2 = 3522. Adder threshold for Reactive power charge p/kVArh (in Adder value at which the minimum is breached)"/>
    <hyperlink ref="A655" location="'Adder'!B650" display="x1 = 3525. Starting point"/>
    <hyperlink ref="A656" location="'Adder'!B575" display="x2 = 3522. Adder threshold for Reactive power charge p/kVArh (in Adder value at which the minimum is breached)"/>
    <hyperlink ref="A657" location="'Adder'!B608" display="x3 = 3523. Effect through Reactive power charge p/kVArh (in Marginal revenue effect of adder)"/>
    <hyperlink ref="A658" location="'Adder'!B675" display="x4 = Location (in Solve for General adder rate (p/kVArh))"/>
    <hyperlink ref="A659" location="'Adder'!C675" display="x5 = Kink (in Solve for General adder rate (p/kVArh))"/>
    <hyperlink ref="A660" location="'Adder'!F675" display="x6 = Ranking before tie break (in Solve for General adder rate (p/kVArh))"/>
    <hyperlink ref="A661" location="'Adder'!G675" display="x7 = Counter (in Solve for General adder rate (p/kVArh))"/>
    <hyperlink ref="A662" location="'Adder'!H675" display="x8 = Tie breaker (in Solve for General adder rate (p/kVArh))"/>
    <hyperlink ref="A663" location="'Adder'!I675" display="x9 = Ranking (in Solve for General adder rate (p/kVArh))"/>
    <hyperlink ref="A664" location="'Adder'!J675" display="x10 = Kink reordering (in Solve for General adder rate (p/kVArh))"/>
    <hyperlink ref="A665" location="'Adder'!D675" display="x11 = Starting slope contributions (in Solve for General adder rate (p/kVArh))"/>
    <hyperlink ref="A666" location="'Adder'!L675" display="x12 = New slope (in Solve for General adder rate (p/kVArh))"/>
    <hyperlink ref="A667" location="'Adder'!K675" display="x13 = Location (ordered) (in Solve for General adder rate (p/kVArh))"/>
    <hyperlink ref="A668" location="'Adder'!E675" display="x14 = Starting values (in Solve for General adder rate (p/kVArh))"/>
    <hyperlink ref="A669" location="'Adder'!E71" display="x15 = 3503. Revenue matching target from reactive power charges (£/year) (in Allocation of matching revenue target (£/year))"/>
    <hyperlink ref="A670" location="'Adder'!B641" display="x16 = 3524. Constraint-free solution"/>
    <hyperlink ref="A671" location="'Adder'!M675" display="x17 = Value (in Solve for General adder rate (p/kVArh))"/>
    <hyperlink ref="A705" location="'Adder'!N675" display="x1 = 3526. Root (in Solve for General adder rate (p/kVArh))"/>
    <hyperlink ref="A713" location="'Loads'!B43" display="x1 = 2302. Load coefficient"/>
    <hyperlink ref="A714" location="'Adder'!B83" display="x2 = 3504. Adder threshold for Unit rate 1 p/kWh (in Adder value at which the minimum is breached)"/>
    <hyperlink ref="A715" location="'Adder'!B277" display="x3 = 3509. General adder rate (p/kWh)"/>
    <hyperlink ref="A716" location="'Adder'!C83" display="x4 = 3504. Adder threshold for Unit rate 2 p/kWh (in Adder value at which the minimum is breached)"/>
    <hyperlink ref="A717" location="'Adder'!D83" display="x5 = 3504. Adder threshold for Unit rate 3 p/kWh (in Adder value at which the minimum is breached)"/>
    <hyperlink ref="A718" location="'Aggreg'!E226" display="x6 = 3307. Fixed charge p/MPAN/day (total) (in Summary of charges before revenue matching)"/>
    <hyperlink ref="A719" location="'Adder'!B286" display="x7 = 3510. Adder threshold for Fixed charge p/MPAN/day (in Adder value at which the minimum is breached)"/>
    <hyperlink ref="A720" location="'Adder'!B421" display="x8 = 3515. General adder rate (p/MPAN/day)"/>
    <hyperlink ref="A721" location="'Adder'!B431" display="x9 = 3516. Adder threshold for Capacity charge p/kVA/day (in Adder value at which the minimum is breached)"/>
    <hyperlink ref="A722" location="'Adder'!B566" display="x10 = 3521. General adder rate (p/kVA/day)"/>
    <hyperlink ref="A723" location="'Adder'!B575" display="x11 = 3522. Adder threshold for Reactive power charge p/kVArh (in Adder value at which the minimum is breached)"/>
    <hyperlink ref="A724" location="'Adder'!B708" display="x12 = 3527. General adder rate (p/kVArh)"/>
    <hyperlink ref="A725" location="'Input'!F57" display="x13 = 1010. Days in the charging year (in Financial and general assumptions)"/>
    <hyperlink ref="A726" location="'Adder'!E741" display="x14 = Adder on Fixed charge p/MPAN/day (in Adder)"/>
    <hyperlink ref="A727" location="'Loads'!E281" display="x15 = 2305. MPANs (in Equivalent volume for each end user)"/>
    <hyperlink ref="A728" location="'Adder'!F741" display="x16 = Adder on Capacity charge p/kVA/day (in Adder)"/>
    <hyperlink ref="A729" location="'Loads'!F281" display="x17 = 2305. Import capacity (kVA) (in Equivalent volume for each end user)"/>
    <hyperlink ref="A730" location="'Adder'!B741" display="x18 = Adder on Unit rate 1 p/kWh (in Adder)"/>
    <hyperlink ref="A731" location="'Loads'!B281" display="x19 = 2305. Rate 1 units (MWh) (in Equivalent volume for each end user)"/>
    <hyperlink ref="A732" location="'Adder'!C741" display="x20 = Adder on Unit rate 2 p/kWh (in Adder)"/>
    <hyperlink ref="A733" location="'Loads'!C281" display="x21 = 2305. Rate 2 units (MWh) (in Equivalent volume for each end user)"/>
    <hyperlink ref="A734" location="'Adder'!D741" display="x22 = Adder on Unit rate 3 p/kWh (in Adder)"/>
    <hyperlink ref="A735" location="'Loads'!D281" display="x23 = 2305. Rate 3 units (MWh) (in Equivalent volume for each end user)"/>
    <hyperlink ref="A736" location="'Adder'!G741" display="x24 = Adder on Reactive power charge p/kVArh (in Adder)"/>
    <hyperlink ref="A737" location="'Loads'!G281" display="x25 = 2305. Reactive power units (MVArh) (in Equivalent volume for each end user)"/>
  </hyperlinks>
  <pageMargins left="0.7" right="0.7" top="0.75" bottom="0.75" header="0.3" footer="0.3"/>
  <pageSetup fitToHeight="0" orientation="landscape"/>
  <headerFooter>
    <oddHeader>&amp;L&amp;A&amp;Cr6432&amp;R&amp;P of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8.7109375" customWidth="1"/>
  </cols>
  <sheetData>
    <row r="1" spans="1:1">
      <c r="A1" s="1">
        <f>"Tariff component adjustment and rounding"&amp;" for "&amp;'Input'!B7&amp;" in "&amp;'Input'!C7&amp;" ("&amp;'Input'!D7&amp;")"</f>
        <v>0</v>
      </c>
    </row>
    <row r="3" spans="1:1">
      <c r="A3" s="1" t="s">
        <v>1400</v>
      </c>
    </row>
    <row r="4" spans="1:1">
      <c r="A4" s="2" t="s">
        <v>349</v>
      </c>
    </row>
    <row r="5" spans="1:1">
      <c r="A5" s="12" t="s">
        <v>1075</v>
      </c>
    </row>
    <row r="6" spans="1:1">
      <c r="A6" s="12" t="s">
        <v>1401</v>
      </c>
    </row>
    <row r="7" spans="1:1">
      <c r="A7" s="12" t="s">
        <v>1076</v>
      </c>
    </row>
    <row r="8" spans="1:1">
      <c r="A8" s="12" t="s">
        <v>1402</v>
      </c>
    </row>
    <row r="9" spans="1:1">
      <c r="A9" s="12" t="s">
        <v>1077</v>
      </c>
    </row>
    <row r="10" spans="1:1">
      <c r="A10" s="12" t="s">
        <v>1403</v>
      </c>
    </row>
    <row r="11" spans="1:1">
      <c r="A11" s="12" t="s">
        <v>1404</v>
      </c>
    </row>
    <row r="12" spans="1:1">
      <c r="A12" s="12" t="s">
        <v>1405</v>
      </c>
    </row>
    <row r="13" spans="1:1">
      <c r="A13" s="12" t="s">
        <v>1406</v>
      </c>
    </row>
    <row r="14" spans="1:1">
      <c r="A14" s="12" t="s">
        <v>1407</v>
      </c>
    </row>
    <row r="15" spans="1:1">
      <c r="A15" s="12" t="s">
        <v>1408</v>
      </c>
    </row>
    <row r="16" spans="1:1">
      <c r="A16" s="12" t="s">
        <v>1409</v>
      </c>
    </row>
    <row r="17" spans="1:8">
      <c r="A17" s="26" t="s">
        <v>352</v>
      </c>
      <c r="B17" s="26" t="s">
        <v>482</v>
      </c>
      <c r="C17" s="26" t="s">
        <v>482</v>
      </c>
      <c r="D17" s="26" t="s">
        <v>482</v>
      </c>
      <c r="E17" s="26" t="s">
        <v>482</v>
      </c>
      <c r="F17" s="26" t="s">
        <v>482</v>
      </c>
      <c r="G17" s="26" t="s">
        <v>482</v>
      </c>
    </row>
    <row r="18" spans="1:8">
      <c r="A18" s="26" t="s">
        <v>355</v>
      </c>
      <c r="B18" s="26" t="s">
        <v>1410</v>
      </c>
      <c r="C18" s="26" t="s">
        <v>1411</v>
      </c>
      <c r="D18" s="26" t="s">
        <v>1412</v>
      </c>
      <c r="E18" s="26" t="s">
        <v>1413</v>
      </c>
      <c r="F18" s="26" t="s">
        <v>1414</v>
      </c>
      <c r="G18" s="26" t="s">
        <v>1415</v>
      </c>
    </row>
    <row r="20" spans="1:8">
      <c r="B20" s="3" t="s">
        <v>1416</v>
      </c>
      <c r="C20" s="3" t="s">
        <v>1417</v>
      </c>
      <c r="D20" s="3" t="s">
        <v>1418</v>
      </c>
      <c r="E20" s="3" t="s">
        <v>1419</v>
      </c>
      <c r="F20" s="3" t="s">
        <v>1420</v>
      </c>
      <c r="G20" s="3" t="s">
        <v>1047</v>
      </c>
    </row>
    <row r="21" spans="1:8">
      <c r="A21" s="11" t="s">
        <v>172</v>
      </c>
      <c r="B21" s="34">
        <f>'Aggreg'!$B227+'Adder'!$B742</f>
        <v>0</v>
      </c>
      <c r="C21" s="9"/>
      <c r="D21" s="9"/>
      <c r="E21" s="34">
        <f>'Aggreg'!$E227+'Adder'!$E742</f>
        <v>0</v>
      </c>
      <c r="F21" s="9"/>
      <c r="G21" s="9"/>
      <c r="H21" s="10"/>
    </row>
    <row r="22" spans="1:8">
      <c r="A22" s="11" t="s">
        <v>173</v>
      </c>
      <c r="B22" s="34">
        <f>'Aggreg'!$B228+'Adder'!$B743</f>
        <v>0</v>
      </c>
      <c r="C22" s="34">
        <f>'Aggreg'!$C228+'Adder'!$C743</f>
        <v>0</v>
      </c>
      <c r="D22" s="9"/>
      <c r="E22" s="34">
        <f>'Aggreg'!$E228+'Adder'!$E743</f>
        <v>0</v>
      </c>
      <c r="F22" s="9"/>
      <c r="G22" s="9"/>
      <c r="H22" s="10"/>
    </row>
    <row r="23" spans="1:8">
      <c r="A23" s="11" t="s">
        <v>210</v>
      </c>
      <c r="B23" s="34">
        <f>'Aggreg'!$B229+'Adder'!$B744</f>
        <v>0</v>
      </c>
      <c r="C23" s="9"/>
      <c r="D23" s="9"/>
      <c r="E23" s="9"/>
      <c r="F23" s="9"/>
      <c r="G23" s="9"/>
      <c r="H23" s="10"/>
    </row>
    <row r="24" spans="1:8">
      <c r="A24" s="11" t="s">
        <v>174</v>
      </c>
      <c r="B24" s="34">
        <f>'Aggreg'!$B230+'Adder'!$B745</f>
        <v>0</v>
      </c>
      <c r="C24" s="9"/>
      <c r="D24" s="9"/>
      <c r="E24" s="34">
        <f>'Aggreg'!$E230+'Adder'!$E745</f>
        <v>0</v>
      </c>
      <c r="F24" s="9"/>
      <c r="G24" s="9"/>
      <c r="H24" s="10"/>
    </row>
    <row r="25" spans="1:8">
      <c r="A25" s="11" t="s">
        <v>175</v>
      </c>
      <c r="B25" s="34">
        <f>'Aggreg'!$B231+'Adder'!$B746</f>
        <v>0</v>
      </c>
      <c r="C25" s="34">
        <f>'Aggreg'!$C231+'Adder'!$C746</f>
        <v>0</v>
      </c>
      <c r="D25" s="9"/>
      <c r="E25" s="34">
        <f>'Aggreg'!$E231+'Adder'!$E746</f>
        <v>0</v>
      </c>
      <c r="F25" s="9"/>
      <c r="G25" s="9"/>
      <c r="H25" s="10"/>
    </row>
    <row r="26" spans="1:8">
      <c r="A26" s="11" t="s">
        <v>211</v>
      </c>
      <c r="B26" s="34">
        <f>'Aggreg'!$B232+'Adder'!$B747</f>
        <v>0</v>
      </c>
      <c r="C26" s="9"/>
      <c r="D26" s="9"/>
      <c r="E26" s="9"/>
      <c r="F26" s="9"/>
      <c r="G26" s="9"/>
      <c r="H26" s="10"/>
    </row>
    <row r="27" spans="1:8">
      <c r="A27" s="11" t="s">
        <v>176</v>
      </c>
      <c r="B27" s="34">
        <f>'Aggreg'!$B233+'Adder'!$B748</f>
        <v>0</v>
      </c>
      <c r="C27" s="34">
        <f>'Aggreg'!$C233+'Adder'!$C748</f>
        <v>0</v>
      </c>
      <c r="D27" s="9"/>
      <c r="E27" s="34">
        <f>'Aggreg'!$E233+'Adder'!$E748</f>
        <v>0</v>
      </c>
      <c r="F27" s="9"/>
      <c r="G27" s="9"/>
      <c r="H27" s="10"/>
    </row>
    <row r="28" spans="1:8">
      <c r="A28" s="11" t="s">
        <v>177</v>
      </c>
      <c r="B28" s="34">
        <f>'Aggreg'!$B234+'Adder'!$B749</f>
        <v>0</v>
      </c>
      <c r="C28" s="34">
        <f>'Aggreg'!$C234+'Adder'!$C749</f>
        <v>0</v>
      </c>
      <c r="D28" s="9"/>
      <c r="E28" s="34">
        <f>'Aggreg'!$E234+'Adder'!$E749</f>
        <v>0</v>
      </c>
      <c r="F28" s="9"/>
      <c r="G28" s="9"/>
      <c r="H28" s="10"/>
    </row>
    <row r="29" spans="1:8">
      <c r="A29" s="11" t="s">
        <v>191</v>
      </c>
      <c r="B29" s="34">
        <f>'Aggreg'!$B235+'Adder'!$B750</f>
        <v>0</v>
      </c>
      <c r="C29" s="34">
        <f>'Aggreg'!$C235+'Adder'!$C750</f>
        <v>0</v>
      </c>
      <c r="D29" s="9"/>
      <c r="E29" s="34">
        <f>'Aggreg'!$E235+'Adder'!$E750</f>
        <v>0</v>
      </c>
      <c r="F29" s="9"/>
      <c r="G29" s="9"/>
      <c r="H29" s="10"/>
    </row>
    <row r="30" spans="1:8">
      <c r="A30" s="11" t="s">
        <v>178</v>
      </c>
      <c r="B30" s="34">
        <f>'Aggreg'!$B236+'Adder'!$B751</f>
        <v>0</v>
      </c>
      <c r="C30" s="34">
        <f>'Aggreg'!$C236+'Adder'!$C751</f>
        <v>0</v>
      </c>
      <c r="D30" s="34">
        <f>'Aggreg'!$D236+'Adder'!$D751</f>
        <v>0</v>
      </c>
      <c r="E30" s="34">
        <f>'Aggreg'!$E236+'Adder'!$E751</f>
        <v>0</v>
      </c>
      <c r="F30" s="34">
        <f>'Aggreg'!$F236+'Adder'!$F751</f>
        <v>0</v>
      </c>
      <c r="G30" s="34">
        <f>'Aggreg'!$G236+'Adder'!$G751</f>
        <v>0</v>
      </c>
      <c r="H30" s="10"/>
    </row>
    <row r="31" spans="1:8">
      <c r="A31" s="11" t="s">
        <v>179</v>
      </c>
      <c r="B31" s="34">
        <f>'Aggreg'!$B237+'Adder'!$B752</f>
        <v>0</v>
      </c>
      <c r="C31" s="34">
        <f>'Aggreg'!$C237+'Adder'!$C752</f>
        <v>0</v>
      </c>
      <c r="D31" s="34">
        <f>'Aggreg'!$D237+'Adder'!$D752</f>
        <v>0</v>
      </c>
      <c r="E31" s="34">
        <f>'Aggreg'!$E237+'Adder'!$E752</f>
        <v>0</v>
      </c>
      <c r="F31" s="34">
        <f>'Aggreg'!$F237+'Adder'!$F752</f>
        <v>0</v>
      </c>
      <c r="G31" s="34">
        <f>'Aggreg'!$G237+'Adder'!$G752</f>
        <v>0</v>
      </c>
      <c r="H31" s="10"/>
    </row>
    <row r="32" spans="1:8">
      <c r="A32" s="11" t="s">
        <v>192</v>
      </c>
      <c r="B32" s="34">
        <f>'Aggreg'!$B238+'Adder'!$B753</f>
        <v>0</v>
      </c>
      <c r="C32" s="34">
        <f>'Aggreg'!$C238+'Adder'!$C753</f>
        <v>0</v>
      </c>
      <c r="D32" s="34">
        <f>'Aggreg'!$D238+'Adder'!$D753</f>
        <v>0</v>
      </c>
      <c r="E32" s="34">
        <f>'Aggreg'!$E238+'Adder'!$E753</f>
        <v>0</v>
      </c>
      <c r="F32" s="34">
        <f>'Aggreg'!$F238+'Adder'!$F753</f>
        <v>0</v>
      </c>
      <c r="G32" s="34">
        <f>'Aggreg'!$G238+'Adder'!$G753</f>
        <v>0</v>
      </c>
      <c r="H32" s="10"/>
    </row>
    <row r="33" spans="1:8">
      <c r="A33" s="11" t="s">
        <v>212</v>
      </c>
      <c r="B33" s="34">
        <f>'Aggreg'!$B239+'Adder'!$B754</f>
        <v>0</v>
      </c>
      <c r="C33" s="9"/>
      <c r="D33" s="9"/>
      <c r="E33" s="9"/>
      <c r="F33" s="9"/>
      <c r="G33" s="9"/>
      <c r="H33" s="10"/>
    </row>
    <row r="34" spans="1:8">
      <c r="A34" s="11" t="s">
        <v>213</v>
      </c>
      <c r="B34" s="34">
        <f>'Aggreg'!$B240+'Adder'!$B755</f>
        <v>0</v>
      </c>
      <c r="C34" s="9"/>
      <c r="D34" s="9"/>
      <c r="E34" s="9"/>
      <c r="F34" s="9"/>
      <c r="G34" s="9"/>
      <c r="H34" s="10"/>
    </row>
    <row r="35" spans="1:8">
      <c r="A35" s="11" t="s">
        <v>214</v>
      </c>
      <c r="B35" s="34">
        <f>'Aggreg'!$B241+'Adder'!$B756</f>
        <v>0</v>
      </c>
      <c r="C35" s="9"/>
      <c r="D35" s="9"/>
      <c r="E35" s="9"/>
      <c r="F35" s="9"/>
      <c r="G35" s="9"/>
      <c r="H35" s="10"/>
    </row>
    <row r="36" spans="1:8">
      <c r="A36" s="11" t="s">
        <v>215</v>
      </c>
      <c r="B36" s="34">
        <f>'Aggreg'!$B242+'Adder'!$B757</f>
        <v>0</v>
      </c>
      <c r="C36" s="9"/>
      <c r="D36" s="9"/>
      <c r="E36" s="9"/>
      <c r="F36" s="9"/>
      <c r="G36" s="9"/>
      <c r="H36" s="10"/>
    </row>
    <row r="37" spans="1:8">
      <c r="A37" s="11" t="s">
        <v>216</v>
      </c>
      <c r="B37" s="34">
        <f>'Aggreg'!$B243+'Adder'!$B758</f>
        <v>0</v>
      </c>
      <c r="C37" s="34">
        <f>'Aggreg'!$C243+'Adder'!$C758</f>
        <v>0</v>
      </c>
      <c r="D37" s="34">
        <f>'Aggreg'!$D243+'Adder'!$D758</f>
        <v>0</v>
      </c>
      <c r="E37" s="9"/>
      <c r="F37" s="9"/>
      <c r="G37" s="9"/>
      <c r="H37" s="10"/>
    </row>
    <row r="38" spans="1:8">
      <c r="A38" s="11" t="s">
        <v>180</v>
      </c>
      <c r="B38" s="34">
        <f>'Aggreg'!$B244+'Adder'!$B759</f>
        <v>0</v>
      </c>
      <c r="C38" s="9"/>
      <c r="D38" s="9"/>
      <c r="E38" s="34">
        <f>'Aggreg'!$E244+'Adder'!$E759</f>
        <v>0</v>
      </c>
      <c r="F38" s="9"/>
      <c r="G38" s="9"/>
      <c r="H38" s="10"/>
    </row>
    <row r="39" spans="1:8">
      <c r="A39" s="11" t="s">
        <v>181</v>
      </c>
      <c r="B39" s="34">
        <f>'Aggreg'!$B245+'Adder'!$B760</f>
        <v>0</v>
      </c>
      <c r="C39" s="9"/>
      <c r="D39" s="9"/>
      <c r="E39" s="34">
        <f>'Aggreg'!$E245+'Adder'!$E760</f>
        <v>0</v>
      </c>
      <c r="F39" s="9"/>
      <c r="G39" s="9"/>
      <c r="H39" s="10"/>
    </row>
    <row r="40" spans="1:8">
      <c r="A40" s="11" t="s">
        <v>182</v>
      </c>
      <c r="B40" s="34">
        <f>'Aggreg'!$B246+'Adder'!$B761</f>
        <v>0</v>
      </c>
      <c r="C40" s="9"/>
      <c r="D40" s="9"/>
      <c r="E40" s="34">
        <f>'Aggreg'!$E246+'Adder'!$E761</f>
        <v>0</v>
      </c>
      <c r="F40" s="9"/>
      <c r="G40" s="34">
        <f>'Aggreg'!$G246+'Adder'!$G761</f>
        <v>0</v>
      </c>
      <c r="H40" s="10"/>
    </row>
    <row r="41" spans="1:8">
      <c r="A41" s="11" t="s">
        <v>183</v>
      </c>
      <c r="B41" s="34">
        <f>'Aggreg'!$B247+'Adder'!$B762</f>
        <v>0</v>
      </c>
      <c r="C41" s="34">
        <f>'Aggreg'!$C247+'Adder'!$C762</f>
        <v>0</v>
      </c>
      <c r="D41" s="34">
        <f>'Aggreg'!$D247+'Adder'!$D762</f>
        <v>0</v>
      </c>
      <c r="E41" s="34">
        <f>'Aggreg'!$E247+'Adder'!$E762</f>
        <v>0</v>
      </c>
      <c r="F41" s="9"/>
      <c r="G41" s="34">
        <f>'Aggreg'!$G247+'Adder'!$G762</f>
        <v>0</v>
      </c>
      <c r="H41" s="10"/>
    </row>
    <row r="42" spans="1:8">
      <c r="A42" s="11" t="s">
        <v>184</v>
      </c>
      <c r="B42" s="34">
        <f>'Aggreg'!$B248+'Adder'!$B763</f>
        <v>0</v>
      </c>
      <c r="C42" s="9"/>
      <c r="D42" s="9"/>
      <c r="E42" s="34">
        <f>'Aggreg'!$E248+'Adder'!$E763</f>
        <v>0</v>
      </c>
      <c r="F42" s="9"/>
      <c r="G42" s="34">
        <f>'Aggreg'!$G248+'Adder'!$G763</f>
        <v>0</v>
      </c>
      <c r="H42" s="10"/>
    </row>
    <row r="43" spans="1:8">
      <c r="A43" s="11" t="s">
        <v>185</v>
      </c>
      <c r="B43" s="34">
        <f>'Aggreg'!$B249+'Adder'!$B764</f>
        <v>0</v>
      </c>
      <c r="C43" s="34">
        <f>'Aggreg'!$C249+'Adder'!$C764</f>
        <v>0</v>
      </c>
      <c r="D43" s="34">
        <f>'Aggreg'!$D249+'Adder'!$D764</f>
        <v>0</v>
      </c>
      <c r="E43" s="34">
        <f>'Aggreg'!$E249+'Adder'!$E764</f>
        <v>0</v>
      </c>
      <c r="F43" s="9"/>
      <c r="G43" s="34">
        <f>'Aggreg'!$G249+'Adder'!$G764</f>
        <v>0</v>
      </c>
      <c r="H43" s="10"/>
    </row>
    <row r="44" spans="1:8">
      <c r="A44" s="11" t="s">
        <v>193</v>
      </c>
      <c r="B44" s="34">
        <f>'Aggreg'!$B250+'Adder'!$B765</f>
        <v>0</v>
      </c>
      <c r="C44" s="9"/>
      <c r="D44" s="9"/>
      <c r="E44" s="34">
        <f>'Aggreg'!$E250+'Adder'!$E765</f>
        <v>0</v>
      </c>
      <c r="F44" s="9"/>
      <c r="G44" s="34">
        <f>'Aggreg'!$G250+'Adder'!$G765</f>
        <v>0</v>
      </c>
      <c r="H44" s="10"/>
    </row>
    <row r="45" spans="1:8">
      <c r="A45" s="11" t="s">
        <v>194</v>
      </c>
      <c r="B45" s="34">
        <f>'Aggreg'!$B251+'Adder'!$B766</f>
        <v>0</v>
      </c>
      <c r="C45" s="34">
        <f>'Aggreg'!$C251+'Adder'!$C766</f>
        <v>0</v>
      </c>
      <c r="D45" s="34">
        <f>'Aggreg'!$D251+'Adder'!$D766</f>
        <v>0</v>
      </c>
      <c r="E45" s="34">
        <f>'Aggreg'!$E251+'Adder'!$E766</f>
        <v>0</v>
      </c>
      <c r="F45" s="9"/>
      <c r="G45" s="34">
        <f>'Aggreg'!$G251+'Adder'!$G766</f>
        <v>0</v>
      </c>
      <c r="H45" s="10"/>
    </row>
    <row r="47" spans="1:8">
      <c r="A47" s="1" t="s">
        <v>1421</v>
      </c>
    </row>
    <row r="49" spans="1:8">
      <c r="B49" s="3" t="s">
        <v>1416</v>
      </c>
      <c r="C49" s="3" t="s">
        <v>1417</v>
      </c>
      <c r="D49" s="3" t="s">
        <v>1418</v>
      </c>
      <c r="E49" s="3" t="s">
        <v>1419</v>
      </c>
      <c r="F49" s="3" t="s">
        <v>1420</v>
      </c>
      <c r="G49" s="3" t="s">
        <v>1047</v>
      </c>
    </row>
    <row r="50" spans="1:8">
      <c r="A50" s="11" t="s">
        <v>1422</v>
      </c>
      <c r="B50" s="28">
        <v>3</v>
      </c>
      <c r="C50" s="28">
        <v>3</v>
      </c>
      <c r="D50" s="28">
        <v>3</v>
      </c>
      <c r="E50" s="28">
        <v>2</v>
      </c>
      <c r="F50" s="28">
        <v>2</v>
      </c>
      <c r="G50" s="28">
        <v>3</v>
      </c>
      <c r="H50" s="10"/>
    </row>
    <row r="52" spans="1:8">
      <c r="A52" s="1" t="s">
        <v>1423</v>
      </c>
    </row>
    <row r="53" spans="1:8">
      <c r="A53" s="2" t="s">
        <v>349</v>
      </c>
    </row>
    <row r="54" spans="1:8">
      <c r="A54" s="12" t="s">
        <v>1424</v>
      </c>
    </row>
    <row r="55" spans="1:8">
      <c r="A55" s="12" t="s">
        <v>1425</v>
      </c>
    </row>
    <row r="56" spans="1:8">
      <c r="A56" s="12" t="s">
        <v>1426</v>
      </c>
    </row>
    <row r="57" spans="1:8">
      <c r="A57" s="12" t="s">
        <v>1427</v>
      </c>
    </row>
    <row r="58" spans="1:8">
      <c r="A58" s="12" t="s">
        <v>1428</v>
      </c>
    </row>
    <row r="59" spans="1:8">
      <c r="A59" s="12" t="s">
        <v>1429</v>
      </c>
    </row>
    <row r="60" spans="1:8">
      <c r="A60" s="12" t="s">
        <v>1430</v>
      </c>
    </row>
    <row r="61" spans="1:8">
      <c r="A61" s="12" t="s">
        <v>1431</v>
      </c>
    </row>
    <row r="62" spans="1:8">
      <c r="A62" s="12" t="s">
        <v>1432</v>
      </c>
    </row>
    <row r="63" spans="1:8">
      <c r="A63" s="12" t="s">
        <v>1433</v>
      </c>
    </row>
    <row r="64" spans="1:8">
      <c r="A64" s="12" t="s">
        <v>1434</v>
      </c>
    </row>
    <row r="65" spans="1:8">
      <c r="A65" s="12" t="s">
        <v>1435</v>
      </c>
    </row>
    <row r="66" spans="1:8">
      <c r="A66" s="26" t="s">
        <v>352</v>
      </c>
      <c r="B66" s="26" t="s">
        <v>482</v>
      </c>
      <c r="C66" s="26" t="s">
        <v>482</v>
      </c>
      <c r="D66" s="26" t="s">
        <v>482</v>
      </c>
      <c r="E66" s="26" t="s">
        <v>482</v>
      </c>
      <c r="F66" s="26" t="s">
        <v>482</v>
      </c>
      <c r="G66" s="26" t="s">
        <v>482</v>
      </c>
    </row>
    <row r="67" spans="1:8">
      <c r="A67" s="26" t="s">
        <v>355</v>
      </c>
      <c r="B67" s="26" t="s">
        <v>1436</v>
      </c>
      <c r="C67" s="26" t="s">
        <v>1437</v>
      </c>
      <c r="D67" s="26" t="s">
        <v>1438</v>
      </c>
      <c r="E67" s="26" t="s">
        <v>1439</v>
      </c>
      <c r="F67" s="26" t="s">
        <v>1440</v>
      </c>
      <c r="G67" s="26" t="s">
        <v>1441</v>
      </c>
    </row>
    <row r="69" spans="1:8">
      <c r="B69" s="3" t="s">
        <v>1416</v>
      </c>
      <c r="C69" s="3" t="s">
        <v>1417</v>
      </c>
      <c r="D69" s="3" t="s">
        <v>1418</v>
      </c>
      <c r="E69" s="3" t="s">
        <v>1419</v>
      </c>
      <c r="F69" s="3" t="s">
        <v>1420</v>
      </c>
      <c r="G69" s="3" t="s">
        <v>1047</v>
      </c>
    </row>
    <row r="70" spans="1:8">
      <c r="A70" s="11" t="s">
        <v>172</v>
      </c>
      <c r="B70" s="34">
        <f>ROUND(B21,B$50)-B21</f>
        <v>0</v>
      </c>
      <c r="C70" s="9"/>
      <c r="D70" s="9"/>
      <c r="E70" s="34">
        <f>ROUND(E21,E$50)-E21</f>
        <v>0</v>
      </c>
      <c r="F70" s="9"/>
      <c r="G70" s="9"/>
      <c r="H70" s="10"/>
    </row>
    <row r="71" spans="1:8">
      <c r="A71" s="11" t="s">
        <v>173</v>
      </c>
      <c r="B71" s="34">
        <f>ROUND(B22,B$50)-B22</f>
        <v>0</v>
      </c>
      <c r="C71" s="34">
        <f>ROUND(C22,C$50)-C22</f>
        <v>0</v>
      </c>
      <c r="D71" s="9"/>
      <c r="E71" s="34">
        <f>ROUND(E22,E$50)-E22</f>
        <v>0</v>
      </c>
      <c r="F71" s="9"/>
      <c r="G71" s="9"/>
      <c r="H71" s="10"/>
    </row>
    <row r="72" spans="1:8">
      <c r="A72" s="11" t="s">
        <v>210</v>
      </c>
      <c r="B72" s="34">
        <f>ROUND(B23,B$50)-B23</f>
        <v>0</v>
      </c>
      <c r="C72" s="9"/>
      <c r="D72" s="9"/>
      <c r="E72" s="9"/>
      <c r="F72" s="9"/>
      <c r="G72" s="9"/>
      <c r="H72" s="10"/>
    </row>
    <row r="73" spans="1:8">
      <c r="A73" s="11" t="s">
        <v>174</v>
      </c>
      <c r="B73" s="34">
        <f>ROUND(B24,B$50)-B24</f>
        <v>0</v>
      </c>
      <c r="C73" s="9"/>
      <c r="D73" s="9"/>
      <c r="E73" s="34">
        <f>ROUND(E24,E$50)-E24</f>
        <v>0</v>
      </c>
      <c r="F73" s="9"/>
      <c r="G73" s="9"/>
      <c r="H73" s="10"/>
    </row>
    <row r="74" spans="1:8">
      <c r="A74" s="11" t="s">
        <v>175</v>
      </c>
      <c r="B74" s="34">
        <f>ROUND(B25,B$50)-B25</f>
        <v>0</v>
      </c>
      <c r="C74" s="34">
        <f>ROUND(C25,C$50)-C25</f>
        <v>0</v>
      </c>
      <c r="D74" s="9"/>
      <c r="E74" s="34">
        <f>ROUND(E25,E$50)-E25</f>
        <v>0</v>
      </c>
      <c r="F74" s="9"/>
      <c r="G74" s="9"/>
      <c r="H74" s="10"/>
    </row>
    <row r="75" spans="1:8">
      <c r="A75" s="11" t="s">
        <v>211</v>
      </c>
      <c r="B75" s="34">
        <f>ROUND(B26,B$50)-B26</f>
        <v>0</v>
      </c>
      <c r="C75" s="9"/>
      <c r="D75" s="9"/>
      <c r="E75" s="9"/>
      <c r="F75" s="9"/>
      <c r="G75" s="9"/>
      <c r="H75" s="10"/>
    </row>
    <row r="76" spans="1:8">
      <c r="A76" s="11" t="s">
        <v>176</v>
      </c>
      <c r="B76" s="34">
        <f>ROUND(B27,B$50)-B27</f>
        <v>0</v>
      </c>
      <c r="C76" s="34">
        <f>ROUND(C27,C$50)-C27</f>
        <v>0</v>
      </c>
      <c r="D76" s="9"/>
      <c r="E76" s="34">
        <f>ROUND(E27,E$50)-E27</f>
        <v>0</v>
      </c>
      <c r="F76" s="9"/>
      <c r="G76" s="9"/>
      <c r="H76" s="10"/>
    </row>
    <row r="77" spans="1:8">
      <c r="A77" s="11" t="s">
        <v>177</v>
      </c>
      <c r="B77" s="34">
        <f>ROUND(B28,B$50)-B28</f>
        <v>0</v>
      </c>
      <c r="C77" s="34">
        <f>ROUND(C28,C$50)-C28</f>
        <v>0</v>
      </c>
      <c r="D77" s="9"/>
      <c r="E77" s="34">
        <f>ROUND(E28,E$50)-E28</f>
        <v>0</v>
      </c>
      <c r="F77" s="9"/>
      <c r="G77" s="9"/>
      <c r="H77" s="10"/>
    </row>
    <row r="78" spans="1:8">
      <c r="A78" s="11" t="s">
        <v>191</v>
      </c>
      <c r="B78" s="34">
        <f>ROUND(B29,B$50)-B29</f>
        <v>0</v>
      </c>
      <c r="C78" s="34">
        <f>ROUND(C29,C$50)-C29</f>
        <v>0</v>
      </c>
      <c r="D78" s="9"/>
      <c r="E78" s="34">
        <f>ROUND(E29,E$50)-E29</f>
        <v>0</v>
      </c>
      <c r="F78" s="9"/>
      <c r="G78" s="9"/>
      <c r="H78" s="10"/>
    </row>
    <row r="79" spans="1:8">
      <c r="A79" s="11" t="s">
        <v>178</v>
      </c>
      <c r="B79" s="34">
        <f>ROUND(B30,B$50)-B30</f>
        <v>0</v>
      </c>
      <c r="C79" s="34">
        <f>ROUND(C30,C$50)-C30</f>
        <v>0</v>
      </c>
      <c r="D79" s="34">
        <f>ROUND(D30,D$50)-D30</f>
        <v>0</v>
      </c>
      <c r="E79" s="34">
        <f>ROUND(E30,E$50)-E30</f>
        <v>0</v>
      </c>
      <c r="F79" s="34">
        <f>ROUND(F30,F$50)-F30</f>
        <v>0</v>
      </c>
      <c r="G79" s="34">
        <f>ROUND(G30,G$50)-G30</f>
        <v>0</v>
      </c>
      <c r="H79" s="10"/>
    </row>
    <row r="80" spans="1:8">
      <c r="A80" s="11" t="s">
        <v>179</v>
      </c>
      <c r="B80" s="34">
        <f>ROUND(B31,B$50)-B31</f>
        <v>0</v>
      </c>
      <c r="C80" s="34">
        <f>ROUND(C31,C$50)-C31</f>
        <v>0</v>
      </c>
      <c r="D80" s="34">
        <f>ROUND(D31,D$50)-D31</f>
        <v>0</v>
      </c>
      <c r="E80" s="34">
        <f>ROUND(E31,E$50)-E31</f>
        <v>0</v>
      </c>
      <c r="F80" s="34">
        <f>ROUND(F31,F$50)-F31</f>
        <v>0</v>
      </c>
      <c r="G80" s="34">
        <f>ROUND(G31,G$50)-G31</f>
        <v>0</v>
      </c>
      <c r="H80" s="10"/>
    </row>
    <row r="81" spans="1:8">
      <c r="A81" s="11" t="s">
        <v>192</v>
      </c>
      <c r="B81" s="34">
        <f>ROUND(B32,B$50)-B32</f>
        <v>0</v>
      </c>
      <c r="C81" s="34">
        <f>ROUND(C32,C$50)-C32</f>
        <v>0</v>
      </c>
      <c r="D81" s="34">
        <f>ROUND(D32,D$50)-D32</f>
        <v>0</v>
      </c>
      <c r="E81" s="34">
        <f>ROUND(E32,E$50)-E32</f>
        <v>0</v>
      </c>
      <c r="F81" s="34">
        <f>ROUND(F32,F$50)-F32</f>
        <v>0</v>
      </c>
      <c r="G81" s="34">
        <f>ROUND(G32,G$50)-G32</f>
        <v>0</v>
      </c>
      <c r="H81" s="10"/>
    </row>
    <row r="82" spans="1:8">
      <c r="A82" s="11" t="s">
        <v>212</v>
      </c>
      <c r="B82" s="34">
        <f>ROUND(B33,B$50)-B33</f>
        <v>0</v>
      </c>
      <c r="C82" s="9"/>
      <c r="D82" s="9"/>
      <c r="E82" s="9"/>
      <c r="F82" s="9"/>
      <c r="G82" s="9"/>
      <c r="H82" s="10"/>
    </row>
    <row r="83" spans="1:8">
      <c r="A83" s="11" t="s">
        <v>213</v>
      </c>
      <c r="B83" s="34">
        <f>ROUND(B34,B$50)-B34</f>
        <v>0</v>
      </c>
      <c r="C83" s="9"/>
      <c r="D83" s="9"/>
      <c r="E83" s="9"/>
      <c r="F83" s="9"/>
      <c r="G83" s="9"/>
      <c r="H83" s="10"/>
    </row>
    <row r="84" spans="1:8">
      <c r="A84" s="11" t="s">
        <v>214</v>
      </c>
      <c r="B84" s="34">
        <f>ROUND(B35,B$50)-B35</f>
        <v>0</v>
      </c>
      <c r="C84" s="9"/>
      <c r="D84" s="9"/>
      <c r="E84" s="9"/>
      <c r="F84" s="9"/>
      <c r="G84" s="9"/>
      <c r="H84" s="10"/>
    </row>
    <row r="85" spans="1:8">
      <c r="A85" s="11" t="s">
        <v>215</v>
      </c>
      <c r="B85" s="34">
        <f>ROUND(B36,B$50)-B36</f>
        <v>0</v>
      </c>
      <c r="C85" s="9"/>
      <c r="D85" s="9"/>
      <c r="E85" s="9"/>
      <c r="F85" s="9"/>
      <c r="G85" s="9"/>
      <c r="H85" s="10"/>
    </row>
    <row r="86" spans="1:8">
      <c r="A86" s="11" t="s">
        <v>216</v>
      </c>
      <c r="B86" s="34">
        <f>ROUND(B37,B$50)-B37</f>
        <v>0</v>
      </c>
      <c r="C86" s="34">
        <f>ROUND(C37,C$50)-C37</f>
        <v>0</v>
      </c>
      <c r="D86" s="34">
        <f>ROUND(D37,D$50)-D37</f>
        <v>0</v>
      </c>
      <c r="E86" s="9"/>
      <c r="F86" s="9"/>
      <c r="G86" s="9"/>
      <c r="H86" s="10"/>
    </row>
    <row r="87" spans="1:8">
      <c r="A87" s="11" t="s">
        <v>180</v>
      </c>
      <c r="B87" s="34">
        <f>ROUND(B38,B$50)-B38</f>
        <v>0</v>
      </c>
      <c r="C87" s="9"/>
      <c r="D87" s="9"/>
      <c r="E87" s="34">
        <f>ROUND(E38,E$50)-E38</f>
        <v>0</v>
      </c>
      <c r="F87" s="9"/>
      <c r="G87" s="9"/>
      <c r="H87" s="10"/>
    </row>
    <row r="88" spans="1:8">
      <c r="A88" s="11" t="s">
        <v>181</v>
      </c>
      <c r="B88" s="34">
        <f>ROUND(B39,B$50)-B39</f>
        <v>0</v>
      </c>
      <c r="C88" s="9"/>
      <c r="D88" s="9"/>
      <c r="E88" s="34">
        <f>ROUND(E39,E$50)-E39</f>
        <v>0</v>
      </c>
      <c r="F88" s="9"/>
      <c r="G88" s="9"/>
      <c r="H88" s="10"/>
    </row>
    <row r="89" spans="1:8">
      <c r="A89" s="11" t="s">
        <v>182</v>
      </c>
      <c r="B89" s="34">
        <f>ROUND(B40,B$50)-B40</f>
        <v>0</v>
      </c>
      <c r="C89" s="9"/>
      <c r="D89" s="9"/>
      <c r="E89" s="34">
        <f>ROUND(E40,E$50)-E40</f>
        <v>0</v>
      </c>
      <c r="F89" s="9"/>
      <c r="G89" s="34">
        <f>ROUND(G40,G$50)-G40</f>
        <v>0</v>
      </c>
      <c r="H89" s="10"/>
    </row>
    <row r="90" spans="1:8">
      <c r="A90" s="11" t="s">
        <v>183</v>
      </c>
      <c r="B90" s="34">
        <f>ROUND(B41,B$50)-B41</f>
        <v>0</v>
      </c>
      <c r="C90" s="34">
        <f>ROUND(C41,C$50)-C41</f>
        <v>0</v>
      </c>
      <c r="D90" s="34">
        <f>ROUND(D41,D$50)-D41</f>
        <v>0</v>
      </c>
      <c r="E90" s="34">
        <f>ROUND(E41,E$50)-E41</f>
        <v>0</v>
      </c>
      <c r="F90" s="9"/>
      <c r="G90" s="34">
        <f>ROUND(G41,G$50)-G41</f>
        <v>0</v>
      </c>
      <c r="H90" s="10"/>
    </row>
    <row r="91" spans="1:8">
      <c r="A91" s="11" t="s">
        <v>184</v>
      </c>
      <c r="B91" s="34">
        <f>ROUND(B42,B$50)-B42</f>
        <v>0</v>
      </c>
      <c r="C91" s="9"/>
      <c r="D91" s="9"/>
      <c r="E91" s="34">
        <f>ROUND(E42,E$50)-E42</f>
        <v>0</v>
      </c>
      <c r="F91" s="9"/>
      <c r="G91" s="34">
        <f>ROUND(G42,G$50)-G42</f>
        <v>0</v>
      </c>
      <c r="H91" s="10"/>
    </row>
    <row r="92" spans="1:8">
      <c r="A92" s="11" t="s">
        <v>185</v>
      </c>
      <c r="B92" s="34">
        <f>ROUND(B43,B$50)-B43</f>
        <v>0</v>
      </c>
      <c r="C92" s="34">
        <f>ROUND(C43,C$50)-C43</f>
        <v>0</v>
      </c>
      <c r="D92" s="34">
        <f>ROUND(D43,D$50)-D43</f>
        <v>0</v>
      </c>
      <c r="E92" s="34">
        <f>ROUND(E43,E$50)-E43</f>
        <v>0</v>
      </c>
      <c r="F92" s="9"/>
      <c r="G92" s="34">
        <f>ROUND(G43,G$50)-G43</f>
        <v>0</v>
      </c>
      <c r="H92" s="10"/>
    </row>
    <row r="93" spans="1:8">
      <c r="A93" s="11" t="s">
        <v>193</v>
      </c>
      <c r="B93" s="34">
        <f>ROUND(B44,B$50)-B44</f>
        <v>0</v>
      </c>
      <c r="C93" s="9"/>
      <c r="D93" s="9"/>
      <c r="E93" s="34">
        <f>ROUND(E44,E$50)-E44</f>
        <v>0</v>
      </c>
      <c r="F93" s="9"/>
      <c r="G93" s="34">
        <f>ROUND(G44,G$50)-G44</f>
        <v>0</v>
      </c>
      <c r="H93" s="10"/>
    </row>
    <row r="94" spans="1:8">
      <c r="A94" s="11" t="s">
        <v>194</v>
      </c>
      <c r="B94" s="34">
        <f>ROUND(B45,B$50)-B45</f>
        <v>0</v>
      </c>
      <c r="C94" s="34">
        <f>ROUND(C45,C$50)-C45</f>
        <v>0</v>
      </c>
      <c r="D94" s="34">
        <f>ROUND(D45,D$50)-D45</f>
        <v>0</v>
      </c>
      <c r="E94" s="34">
        <f>ROUND(E45,E$50)-E45</f>
        <v>0</v>
      </c>
      <c r="F94" s="9"/>
      <c r="G94" s="34">
        <f>ROUND(G45,G$50)-G45</f>
        <v>0</v>
      </c>
      <c r="H94" s="10"/>
    </row>
    <row r="96" spans="1:8">
      <c r="A96" s="1" t="s">
        <v>1442</v>
      </c>
    </row>
    <row r="97" spans="1:7">
      <c r="A97" s="2" t="s">
        <v>349</v>
      </c>
    </row>
    <row r="98" spans="1:7">
      <c r="A98" s="12" t="s">
        <v>1424</v>
      </c>
    </row>
    <row r="99" spans="1:7">
      <c r="A99" s="12" t="s">
        <v>1443</v>
      </c>
    </row>
    <row r="100" spans="1:7">
      <c r="A100" s="12" t="s">
        <v>1426</v>
      </c>
    </row>
    <row r="101" spans="1:7">
      <c r="A101" s="12" t="s">
        <v>1444</v>
      </c>
    </row>
    <row r="102" spans="1:7">
      <c r="A102" s="12" t="s">
        <v>1428</v>
      </c>
    </row>
    <row r="103" spans="1:7">
      <c r="A103" s="12" t="s">
        <v>1445</v>
      </c>
    </row>
    <row r="104" spans="1:7">
      <c r="A104" s="12" t="s">
        <v>1430</v>
      </c>
    </row>
    <row r="105" spans="1:7">
      <c r="A105" s="12" t="s">
        <v>1446</v>
      </c>
    </row>
    <row r="106" spans="1:7">
      <c r="A106" s="12" t="s">
        <v>1432</v>
      </c>
    </row>
    <row r="107" spans="1:7">
      <c r="A107" s="12" t="s">
        <v>1447</v>
      </c>
    </row>
    <row r="108" spans="1:7">
      <c r="A108" s="12" t="s">
        <v>1434</v>
      </c>
    </row>
    <row r="109" spans="1:7">
      <c r="A109" s="12" t="s">
        <v>1448</v>
      </c>
    </row>
    <row r="110" spans="1:7">
      <c r="A110" s="26" t="s">
        <v>352</v>
      </c>
      <c r="B110" s="26" t="s">
        <v>482</v>
      </c>
      <c r="C110" s="26" t="s">
        <v>482</v>
      </c>
      <c r="D110" s="26" t="s">
        <v>482</v>
      </c>
      <c r="E110" s="26" t="s">
        <v>482</v>
      </c>
      <c r="F110" s="26" t="s">
        <v>482</v>
      </c>
      <c r="G110" s="26" t="s">
        <v>482</v>
      </c>
    </row>
    <row r="111" spans="1:7">
      <c r="A111" s="26" t="s">
        <v>355</v>
      </c>
      <c r="B111" s="26" t="s">
        <v>1410</v>
      </c>
      <c r="C111" s="26" t="s">
        <v>1411</v>
      </c>
      <c r="D111" s="26" t="s">
        <v>1412</v>
      </c>
      <c r="E111" s="26" t="s">
        <v>1413</v>
      </c>
      <c r="F111" s="26" t="s">
        <v>1414</v>
      </c>
      <c r="G111" s="26" t="s">
        <v>1415</v>
      </c>
    </row>
    <row r="113" spans="1:8">
      <c r="B113" s="3" t="s">
        <v>1416</v>
      </c>
      <c r="C113" s="3" t="s">
        <v>1417</v>
      </c>
      <c r="D113" s="3" t="s">
        <v>1418</v>
      </c>
      <c r="E113" s="3" t="s">
        <v>1419</v>
      </c>
      <c r="F113" s="3" t="s">
        <v>1420</v>
      </c>
      <c r="G113" s="3" t="s">
        <v>1047</v>
      </c>
    </row>
    <row r="114" spans="1:8">
      <c r="A114" s="11" t="s">
        <v>172</v>
      </c>
      <c r="B114" s="6">
        <f>B21+B70</f>
        <v>0</v>
      </c>
      <c r="C114" s="9"/>
      <c r="D114" s="9"/>
      <c r="E114" s="35">
        <f>E21+E70</f>
        <v>0</v>
      </c>
      <c r="F114" s="9"/>
      <c r="G114" s="9"/>
      <c r="H114" s="10"/>
    </row>
    <row r="115" spans="1:8">
      <c r="A115" s="11" t="s">
        <v>173</v>
      </c>
      <c r="B115" s="6">
        <f>B22+B71</f>
        <v>0</v>
      </c>
      <c r="C115" s="6">
        <f>C22+C71</f>
        <v>0</v>
      </c>
      <c r="D115" s="9"/>
      <c r="E115" s="35">
        <f>E22+E71</f>
        <v>0</v>
      </c>
      <c r="F115" s="9"/>
      <c r="G115" s="9"/>
      <c r="H115" s="10"/>
    </row>
    <row r="116" spans="1:8">
      <c r="A116" s="11" t="s">
        <v>210</v>
      </c>
      <c r="B116" s="6">
        <f>B23+B72</f>
        <v>0</v>
      </c>
      <c r="C116" s="9"/>
      <c r="D116" s="9"/>
      <c r="E116" s="9"/>
      <c r="F116" s="9"/>
      <c r="G116" s="9"/>
      <c r="H116" s="10"/>
    </row>
    <row r="117" spans="1:8">
      <c r="A117" s="11" t="s">
        <v>174</v>
      </c>
      <c r="B117" s="6">
        <f>B24+B73</f>
        <v>0</v>
      </c>
      <c r="C117" s="9"/>
      <c r="D117" s="9"/>
      <c r="E117" s="35">
        <f>E24+E73</f>
        <v>0</v>
      </c>
      <c r="F117" s="9"/>
      <c r="G117" s="9"/>
      <c r="H117" s="10"/>
    </row>
    <row r="118" spans="1:8">
      <c r="A118" s="11" t="s">
        <v>175</v>
      </c>
      <c r="B118" s="6">
        <f>B25+B74</f>
        <v>0</v>
      </c>
      <c r="C118" s="6">
        <f>C25+C74</f>
        <v>0</v>
      </c>
      <c r="D118" s="9"/>
      <c r="E118" s="35">
        <f>E25+E74</f>
        <v>0</v>
      </c>
      <c r="F118" s="9"/>
      <c r="G118" s="9"/>
      <c r="H118" s="10"/>
    </row>
    <row r="119" spans="1:8">
      <c r="A119" s="11" t="s">
        <v>211</v>
      </c>
      <c r="B119" s="6">
        <f>B26+B75</f>
        <v>0</v>
      </c>
      <c r="C119" s="9"/>
      <c r="D119" s="9"/>
      <c r="E119" s="9"/>
      <c r="F119" s="9"/>
      <c r="G119" s="9"/>
      <c r="H119" s="10"/>
    </row>
    <row r="120" spans="1:8">
      <c r="A120" s="11" t="s">
        <v>176</v>
      </c>
      <c r="B120" s="6">
        <f>B27+B76</f>
        <v>0</v>
      </c>
      <c r="C120" s="6">
        <f>C27+C76</f>
        <v>0</v>
      </c>
      <c r="D120" s="9"/>
      <c r="E120" s="35">
        <f>E27+E76</f>
        <v>0</v>
      </c>
      <c r="F120" s="9"/>
      <c r="G120" s="9"/>
      <c r="H120" s="10"/>
    </row>
    <row r="121" spans="1:8">
      <c r="A121" s="11" t="s">
        <v>177</v>
      </c>
      <c r="B121" s="6">
        <f>B28+B77</f>
        <v>0</v>
      </c>
      <c r="C121" s="6">
        <f>C28+C77</f>
        <v>0</v>
      </c>
      <c r="D121" s="9"/>
      <c r="E121" s="35">
        <f>E28+E77</f>
        <v>0</v>
      </c>
      <c r="F121" s="9"/>
      <c r="G121" s="9"/>
      <c r="H121" s="10"/>
    </row>
    <row r="122" spans="1:8">
      <c r="A122" s="11" t="s">
        <v>191</v>
      </c>
      <c r="B122" s="6">
        <f>B29+B78</f>
        <v>0</v>
      </c>
      <c r="C122" s="6">
        <f>C29+C78</f>
        <v>0</v>
      </c>
      <c r="D122" s="9"/>
      <c r="E122" s="35">
        <f>E29+E78</f>
        <v>0</v>
      </c>
      <c r="F122" s="9"/>
      <c r="G122" s="9"/>
      <c r="H122" s="10"/>
    </row>
    <row r="123" spans="1:8">
      <c r="A123" s="11" t="s">
        <v>178</v>
      </c>
      <c r="B123" s="6">
        <f>B30+B79</f>
        <v>0</v>
      </c>
      <c r="C123" s="6">
        <f>C30+C79</f>
        <v>0</v>
      </c>
      <c r="D123" s="6">
        <f>D30+D79</f>
        <v>0</v>
      </c>
      <c r="E123" s="35">
        <f>E30+E79</f>
        <v>0</v>
      </c>
      <c r="F123" s="35">
        <f>F30+F79</f>
        <v>0</v>
      </c>
      <c r="G123" s="6">
        <f>G30+G79</f>
        <v>0</v>
      </c>
      <c r="H123" s="10"/>
    </row>
    <row r="124" spans="1:8">
      <c r="A124" s="11" t="s">
        <v>179</v>
      </c>
      <c r="B124" s="6">
        <f>B31+B80</f>
        <v>0</v>
      </c>
      <c r="C124" s="6">
        <f>C31+C80</f>
        <v>0</v>
      </c>
      <c r="D124" s="6">
        <f>D31+D80</f>
        <v>0</v>
      </c>
      <c r="E124" s="35">
        <f>E31+E80</f>
        <v>0</v>
      </c>
      <c r="F124" s="35">
        <f>F31+F80</f>
        <v>0</v>
      </c>
      <c r="G124" s="6">
        <f>G31+G80</f>
        <v>0</v>
      </c>
      <c r="H124" s="10"/>
    </row>
    <row r="125" spans="1:8">
      <c r="A125" s="11" t="s">
        <v>192</v>
      </c>
      <c r="B125" s="6">
        <f>B32+B81</f>
        <v>0</v>
      </c>
      <c r="C125" s="6">
        <f>C32+C81</f>
        <v>0</v>
      </c>
      <c r="D125" s="6">
        <f>D32+D81</f>
        <v>0</v>
      </c>
      <c r="E125" s="35">
        <f>E32+E81</f>
        <v>0</v>
      </c>
      <c r="F125" s="35">
        <f>F32+F81</f>
        <v>0</v>
      </c>
      <c r="G125" s="6">
        <f>G32+G81</f>
        <v>0</v>
      </c>
      <c r="H125" s="10"/>
    </row>
    <row r="126" spans="1:8">
      <c r="A126" s="11" t="s">
        <v>212</v>
      </c>
      <c r="B126" s="6">
        <f>B33+B82</f>
        <v>0</v>
      </c>
      <c r="C126" s="9"/>
      <c r="D126" s="9"/>
      <c r="E126" s="9"/>
      <c r="F126" s="9"/>
      <c r="G126" s="9"/>
      <c r="H126" s="10"/>
    </row>
    <row r="127" spans="1:8">
      <c r="A127" s="11" t="s">
        <v>213</v>
      </c>
      <c r="B127" s="6">
        <f>B34+B83</f>
        <v>0</v>
      </c>
      <c r="C127" s="9"/>
      <c r="D127" s="9"/>
      <c r="E127" s="9"/>
      <c r="F127" s="9"/>
      <c r="G127" s="9"/>
      <c r="H127" s="10"/>
    </row>
    <row r="128" spans="1:8">
      <c r="A128" s="11" t="s">
        <v>214</v>
      </c>
      <c r="B128" s="6">
        <f>B35+B84</f>
        <v>0</v>
      </c>
      <c r="C128" s="9"/>
      <c r="D128" s="9"/>
      <c r="E128" s="9"/>
      <c r="F128" s="9"/>
      <c r="G128" s="9"/>
      <c r="H128" s="10"/>
    </row>
    <row r="129" spans="1:8">
      <c r="A129" s="11" t="s">
        <v>215</v>
      </c>
      <c r="B129" s="6">
        <f>B36+B85</f>
        <v>0</v>
      </c>
      <c r="C129" s="9"/>
      <c r="D129" s="9"/>
      <c r="E129" s="9"/>
      <c r="F129" s="9"/>
      <c r="G129" s="9"/>
      <c r="H129" s="10"/>
    </row>
    <row r="130" spans="1:8">
      <c r="A130" s="11" t="s">
        <v>216</v>
      </c>
      <c r="B130" s="6">
        <f>B37+B86</f>
        <v>0</v>
      </c>
      <c r="C130" s="6">
        <f>C37+C86</f>
        <v>0</v>
      </c>
      <c r="D130" s="6">
        <f>D37+D86</f>
        <v>0</v>
      </c>
      <c r="E130" s="9"/>
      <c r="F130" s="9"/>
      <c r="G130" s="9"/>
      <c r="H130" s="10"/>
    </row>
    <row r="131" spans="1:8">
      <c r="A131" s="11" t="s">
        <v>180</v>
      </c>
      <c r="B131" s="6">
        <f>B38+B87</f>
        <v>0</v>
      </c>
      <c r="C131" s="9"/>
      <c r="D131" s="9"/>
      <c r="E131" s="35">
        <f>E38+E87</f>
        <v>0</v>
      </c>
      <c r="F131" s="9"/>
      <c r="G131" s="9"/>
      <c r="H131" s="10"/>
    </row>
    <row r="132" spans="1:8">
      <c r="A132" s="11" t="s">
        <v>181</v>
      </c>
      <c r="B132" s="6">
        <f>B39+B88</f>
        <v>0</v>
      </c>
      <c r="C132" s="9"/>
      <c r="D132" s="9"/>
      <c r="E132" s="35">
        <f>E39+E88</f>
        <v>0</v>
      </c>
      <c r="F132" s="9"/>
      <c r="G132" s="9"/>
      <c r="H132" s="10"/>
    </row>
    <row r="133" spans="1:8">
      <c r="A133" s="11" t="s">
        <v>182</v>
      </c>
      <c r="B133" s="6">
        <f>B40+B89</f>
        <v>0</v>
      </c>
      <c r="C133" s="9"/>
      <c r="D133" s="9"/>
      <c r="E133" s="35">
        <f>E40+E89</f>
        <v>0</v>
      </c>
      <c r="F133" s="9"/>
      <c r="G133" s="6">
        <f>G40+G89</f>
        <v>0</v>
      </c>
      <c r="H133" s="10"/>
    </row>
    <row r="134" spans="1:8">
      <c r="A134" s="11" t="s">
        <v>183</v>
      </c>
      <c r="B134" s="6">
        <f>B41+B90</f>
        <v>0</v>
      </c>
      <c r="C134" s="6">
        <f>C41+C90</f>
        <v>0</v>
      </c>
      <c r="D134" s="6">
        <f>D41+D90</f>
        <v>0</v>
      </c>
      <c r="E134" s="35">
        <f>E41+E90</f>
        <v>0</v>
      </c>
      <c r="F134" s="9"/>
      <c r="G134" s="6">
        <f>G41+G90</f>
        <v>0</v>
      </c>
      <c r="H134" s="10"/>
    </row>
    <row r="135" spans="1:8">
      <c r="A135" s="11" t="s">
        <v>184</v>
      </c>
      <c r="B135" s="6">
        <f>B42+B91</f>
        <v>0</v>
      </c>
      <c r="C135" s="9"/>
      <c r="D135" s="9"/>
      <c r="E135" s="35">
        <f>E42+E91</f>
        <v>0</v>
      </c>
      <c r="F135" s="9"/>
      <c r="G135" s="6">
        <f>G42+G91</f>
        <v>0</v>
      </c>
      <c r="H135" s="10"/>
    </row>
    <row r="136" spans="1:8">
      <c r="A136" s="11" t="s">
        <v>185</v>
      </c>
      <c r="B136" s="6">
        <f>B43+B92</f>
        <v>0</v>
      </c>
      <c r="C136" s="6">
        <f>C43+C92</f>
        <v>0</v>
      </c>
      <c r="D136" s="6">
        <f>D43+D92</f>
        <v>0</v>
      </c>
      <c r="E136" s="35">
        <f>E43+E92</f>
        <v>0</v>
      </c>
      <c r="F136" s="9"/>
      <c r="G136" s="6">
        <f>G43+G92</f>
        <v>0</v>
      </c>
      <c r="H136" s="10"/>
    </row>
    <row r="137" spans="1:8">
      <c r="A137" s="11" t="s">
        <v>193</v>
      </c>
      <c r="B137" s="6">
        <f>B44+B93</f>
        <v>0</v>
      </c>
      <c r="C137" s="9"/>
      <c r="D137" s="9"/>
      <c r="E137" s="35">
        <f>E44+E93</f>
        <v>0</v>
      </c>
      <c r="F137" s="9"/>
      <c r="G137" s="6">
        <f>G44+G93</f>
        <v>0</v>
      </c>
      <c r="H137" s="10"/>
    </row>
    <row r="138" spans="1:8">
      <c r="A138" s="11" t="s">
        <v>194</v>
      </c>
      <c r="B138" s="6">
        <f>B45+B94</f>
        <v>0</v>
      </c>
      <c r="C138" s="6">
        <f>C45+C94</f>
        <v>0</v>
      </c>
      <c r="D138" s="6">
        <f>D45+D94</f>
        <v>0</v>
      </c>
      <c r="E138" s="35">
        <f>E45+E94</f>
        <v>0</v>
      </c>
      <c r="F138" s="9"/>
      <c r="G138" s="6">
        <f>G45+G94</f>
        <v>0</v>
      </c>
      <c r="H138" s="10"/>
    </row>
    <row r="140" spans="1:8">
      <c r="A140" s="1" t="s">
        <v>1449</v>
      </c>
    </row>
    <row r="141" spans="1:8">
      <c r="A141" s="2" t="s">
        <v>349</v>
      </c>
    </row>
    <row r="142" spans="1:8">
      <c r="A142" s="12" t="s">
        <v>478</v>
      </c>
    </row>
    <row r="143" spans="1:8">
      <c r="A143" s="12" t="s">
        <v>1450</v>
      </c>
    </row>
    <row r="144" spans="1:8">
      <c r="A144" s="12" t="s">
        <v>1050</v>
      </c>
    </row>
    <row r="145" spans="1:3">
      <c r="A145" s="12" t="s">
        <v>1451</v>
      </c>
    </row>
    <row r="146" spans="1:3">
      <c r="A146" s="12" t="s">
        <v>1052</v>
      </c>
    </row>
    <row r="147" spans="1:3">
      <c r="A147" s="12" t="s">
        <v>1452</v>
      </c>
    </row>
    <row r="148" spans="1:3">
      <c r="A148" s="12" t="s">
        <v>1054</v>
      </c>
    </row>
    <row r="149" spans="1:3">
      <c r="A149" s="12" t="s">
        <v>1453</v>
      </c>
    </row>
    <row r="150" spans="1:3">
      <c r="A150" s="12" t="s">
        <v>1056</v>
      </c>
    </row>
    <row r="151" spans="1:3">
      <c r="A151" s="12" t="s">
        <v>1454</v>
      </c>
    </row>
    <row r="152" spans="1:3">
      <c r="A152" s="12" t="s">
        <v>1058</v>
      </c>
    </row>
    <row r="153" spans="1:3">
      <c r="A153" s="12" t="s">
        <v>1448</v>
      </c>
    </row>
    <row r="154" spans="1:3">
      <c r="A154" s="12" t="s">
        <v>1060</v>
      </c>
    </row>
    <row r="155" spans="1:3">
      <c r="A155" s="2" t="s">
        <v>1061</v>
      </c>
    </row>
    <row r="157" spans="1:3">
      <c r="B157" s="3" t="s">
        <v>1455</v>
      </c>
    </row>
    <row r="158" spans="1:3">
      <c r="A158" s="11" t="s">
        <v>172</v>
      </c>
      <c r="B158" s="17">
        <f>0.01*'Input'!F$58*($E70*'Loads'!E282+$F70*'Loads'!F282)+10*($B70*'Loads'!B282+$C70*'Loads'!C282+$D70*'Loads'!D282+$G70*'Loads'!G282)</f>
        <v>0</v>
      </c>
      <c r="C158" s="10"/>
    </row>
    <row r="159" spans="1:3">
      <c r="A159" s="11" t="s">
        <v>173</v>
      </c>
      <c r="B159" s="17">
        <f>0.01*'Input'!F$58*($E71*'Loads'!E283+$F71*'Loads'!F283)+10*($B71*'Loads'!B283+$C71*'Loads'!C283+$D71*'Loads'!D283+$G71*'Loads'!G283)</f>
        <v>0</v>
      </c>
      <c r="C159" s="10"/>
    </row>
    <row r="160" spans="1:3">
      <c r="A160" s="11" t="s">
        <v>210</v>
      </c>
      <c r="B160" s="17">
        <f>0.01*'Input'!F$58*($E72*'Loads'!E284+$F72*'Loads'!F284)+10*($B72*'Loads'!B284+$C72*'Loads'!C284+$D72*'Loads'!D284+$G72*'Loads'!G284)</f>
        <v>0</v>
      </c>
      <c r="C160" s="10"/>
    </row>
    <row r="161" spans="1:3">
      <c r="A161" s="11" t="s">
        <v>174</v>
      </c>
      <c r="B161" s="17">
        <f>0.01*'Input'!F$58*($E73*'Loads'!E285+$F73*'Loads'!F285)+10*($B73*'Loads'!B285+$C73*'Loads'!C285+$D73*'Loads'!D285+$G73*'Loads'!G285)</f>
        <v>0</v>
      </c>
      <c r="C161" s="10"/>
    </row>
    <row r="162" spans="1:3">
      <c r="A162" s="11" t="s">
        <v>175</v>
      </c>
      <c r="B162" s="17">
        <f>0.01*'Input'!F$58*($E74*'Loads'!E286+$F74*'Loads'!F286)+10*($B74*'Loads'!B286+$C74*'Loads'!C286+$D74*'Loads'!D286+$G74*'Loads'!G286)</f>
        <v>0</v>
      </c>
      <c r="C162" s="10"/>
    </row>
    <row r="163" spans="1:3">
      <c r="A163" s="11" t="s">
        <v>211</v>
      </c>
      <c r="B163" s="17">
        <f>0.01*'Input'!F$58*($E75*'Loads'!E287+$F75*'Loads'!F287)+10*($B75*'Loads'!B287+$C75*'Loads'!C287+$D75*'Loads'!D287+$G75*'Loads'!G287)</f>
        <v>0</v>
      </c>
      <c r="C163" s="10"/>
    </row>
    <row r="164" spans="1:3">
      <c r="A164" s="11" t="s">
        <v>176</v>
      </c>
      <c r="B164" s="17">
        <f>0.01*'Input'!F$58*($E76*'Loads'!E288+$F76*'Loads'!F288)+10*($B76*'Loads'!B288+$C76*'Loads'!C288+$D76*'Loads'!D288+$G76*'Loads'!G288)</f>
        <v>0</v>
      </c>
      <c r="C164" s="10"/>
    </row>
    <row r="165" spans="1:3">
      <c r="A165" s="11" t="s">
        <v>177</v>
      </c>
      <c r="B165" s="17">
        <f>0.01*'Input'!F$58*($E77*'Loads'!E289+$F77*'Loads'!F289)+10*($B77*'Loads'!B289+$C77*'Loads'!C289+$D77*'Loads'!D289+$G77*'Loads'!G289)</f>
        <v>0</v>
      </c>
      <c r="C165" s="10"/>
    </row>
    <row r="166" spans="1:3">
      <c r="A166" s="11" t="s">
        <v>191</v>
      </c>
      <c r="B166" s="17">
        <f>0.01*'Input'!F$58*($E78*'Loads'!E290+$F78*'Loads'!F290)+10*($B78*'Loads'!B290+$C78*'Loads'!C290+$D78*'Loads'!D290+$G78*'Loads'!G290)</f>
        <v>0</v>
      </c>
      <c r="C166" s="10"/>
    </row>
    <row r="167" spans="1:3">
      <c r="A167" s="11" t="s">
        <v>178</v>
      </c>
      <c r="B167" s="17">
        <f>0.01*'Input'!F$58*($E79*'Loads'!E291+$F79*'Loads'!F291)+10*($B79*'Loads'!B291+$C79*'Loads'!C291+$D79*'Loads'!D291+$G79*'Loads'!G291)</f>
        <v>0</v>
      </c>
      <c r="C167" s="10"/>
    </row>
    <row r="168" spans="1:3">
      <c r="A168" s="11" t="s">
        <v>179</v>
      </c>
      <c r="B168" s="17">
        <f>0.01*'Input'!F$58*($E80*'Loads'!E292+$F80*'Loads'!F292)+10*($B80*'Loads'!B292+$C80*'Loads'!C292+$D80*'Loads'!D292+$G80*'Loads'!G292)</f>
        <v>0</v>
      </c>
      <c r="C168" s="10"/>
    </row>
    <row r="169" spans="1:3">
      <c r="A169" s="11" t="s">
        <v>192</v>
      </c>
      <c r="B169" s="17">
        <f>0.01*'Input'!F$58*($E81*'Loads'!E293+$F81*'Loads'!F293)+10*($B81*'Loads'!B293+$C81*'Loads'!C293+$D81*'Loads'!D293+$G81*'Loads'!G293)</f>
        <v>0</v>
      </c>
      <c r="C169" s="10"/>
    </row>
    <row r="170" spans="1:3">
      <c r="A170" s="11" t="s">
        <v>212</v>
      </c>
      <c r="B170" s="17">
        <f>0.01*'Input'!F$58*($E82*'Loads'!E294+$F82*'Loads'!F294)+10*($B82*'Loads'!B294+$C82*'Loads'!C294+$D82*'Loads'!D294+$G82*'Loads'!G294)</f>
        <v>0</v>
      </c>
      <c r="C170" s="10"/>
    </row>
    <row r="171" spans="1:3">
      <c r="A171" s="11" t="s">
        <v>213</v>
      </c>
      <c r="B171" s="17">
        <f>0.01*'Input'!F$58*($E83*'Loads'!E295+$F83*'Loads'!F295)+10*($B83*'Loads'!B295+$C83*'Loads'!C295+$D83*'Loads'!D295+$G83*'Loads'!G295)</f>
        <v>0</v>
      </c>
      <c r="C171" s="10"/>
    </row>
    <row r="172" spans="1:3">
      <c r="A172" s="11" t="s">
        <v>214</v>
      </c>
      <c r="B172" s="17">
        <f>0.01*'Input'!F$58*($E84*'Loads'!E296+$F84*'Loads'!F296)+10*($B84*'Loads'!B296+$C84*'Loads'!C296+$D84*'Loads'!D296+$G84*'Loads'!G296)</f>
        <v>0</v>
      </c>
      <c r="C172" s="10"/>
    </row>
    <row r="173" spans="1:3">
      <c r="A173" s="11" t="s">
        <v>215</v>
      </c>
      <c r="B173" s="17">
        <f>0.01*'Input'!F$58*($E85*'Loads'!E297+$F85*'Loads'!F297)+10*($B85*'Loads'!B297+$C85*'Loads'!C297+$D85*'Loads'!D297+$G85*'Loads'!G297)</f>
        <v>0</v>
      </c>
      <c r="C173" s="10"/>
    </row>
    <row r="174" spans="1:3">
      <c r="A174" s="11" t="s">
        <v>216</v>
      </c>
      <c r="B174" s="17">
        <f>0.01*'Input'!F$58*($E86*'Loads'!E298+$F86*'Loads'!F298)+10*($B86*'Loads'!B298+$C86*'Loads'!C298+$D86*'Loads'!D298+$G86*'Loads'!G298)</f>
        <v>0</v>
      </c>
      <c r="C174" s="10"/>
    </row>
    <row r="175" spans="1:3">
      <c r="A175" s="11" t="s">
        <v>180</v>
      </c>
      <c r="B175" s="17">
        <f>0.01*'Input'!F$58*($E87*'Loads'!E299+$F87*'Loads'!F299)+10*($B87*'Loads'!B299+$C87*'Loads'!C299+$D87*'Loads'!D299+$G87*'Loads'!G299)</f>
        <v>0</v>
      </c>
      <c r="C175" s="10"/>
    </row>
    <row r="176" spans="1:3">
      <c r="A176" s="11" t="s">
        <v>181</v>
      </c>
      <c r="B176" s="17">
        <f>0.01*'Input'!F$58*($E88*'Loads'!E300+$F88*'Loads'!F300)+10*($B88*'Loads'!B300+$C88*'Loads'!C300+$D88*'Loads'!D300+$G88*'Loads'!G300)</f>
        <v>0</v>
      </c>
      <c r="C176" s="10"/>
    </row>
    <row r="177" spans="1:3">
      <c r="A177" s="11" t="s">
        <v>182</v>
      </c>
      <c r="B177" s="17">
        <f>0.01*'Input'!F$58*($E89*'Loads'!E301+$F89*'Loads'!F301)+10*($B89*'Loads'!B301+$C89*'Loads'!C301+$D89*'Loads'!D301+$G89*'Loads'!G301)</f>
        <v>0</v>
      </c>
      <c r="C177" s="10"/>
    </row>
    <row r="178" spans="1:3">
      <c r="A178" s="11" t="s">
        <v>183</v>
      </c>
      <c r="B178" s="17">
        <f>0.01*'Input'!F$58*($E90*'Loads'!E302+$F90*'Loads'!F302)+10*($B90*'Loads'!B302+$C90*'Loads'!C302+$D90*'Loads'!D302+$G90*'Loads'!G302)</f>
        <v>0</v>
      </c>
      <c r="C178" s="10"/>
    </row>
    <row r="179" spans="1:3">
      <c r="A179" s="11" t="s">
        <v>184</v>
      </c>
      <c r="B179" s="17">
        <f>0.01*'Input'!F$58*($E91*'Loads'!E303+$F91*'Loads'!F303)+10*($B91*'Loads'!B303+$C91*'Loads'!C303+$D91*'Loads'!D303+$G91*'Loads'!G303)</f>
        <v>0</v>
      </c>
      <c r="C179" s="10"/>
    </row>
    <row r="180" spans="1:3">
      <c r="A180" s="11" t="s">
        <v>185</v>
      </c>
      <c r="B180" s="17">
        <f>0.01*'Input'!F$58*($E92*'Loads'!E304+$F92*'Loads'!F304)+10*($B92*'Loads'!B304+$C92*'Loads'!C304+$D92*'Loads'!D304+$G92*'Loads'!G304)</f>
        <v>0</v>
      </c>
      <c r="C180" s="10"/>
    </row>
    <row r="181" spans="1:3">
      <c r="A181" s="11" t="s">
        <v>193</v>
      </c>
      <c r="B181" s="17">
        <f>0.01*'Input'!F$58*($E93*'Loads'!E305+$F93*'Loads'!F305)+10*($B93*'Loads'!B305+$C93*'Loads'!C305+$D93*'Loads'!D305+$G93*'Loads'!G305)</f>
        <v>0</v>
      </c>
      <c r="C181" s="10"/>
    </row>
    <row r="182" spans="1:3">
      <c r="A182" s="11" t="s">
        <v>194</v>
      </c>
      <c r="B182" s="17">
        <f>0.01*'Input'!F$58*($E94*'Loads'!E306+$F94*'Loads'!F306)+10*($B94*'Loads'!B306+$C94*'Loads'!C306+$D94*'Loads'!D306+$G94*'Loads'!G306)</f>
        <v>0</v>
      </c>
      <c r="C182" s="10"/>
    </row>
    <row r="184" spans="1:3">
      <c r="A184" s="1" t="s">
        <v>1456</v>
      </c>
    </row>
    <row r="185" spans="1:3">
      <c r="A185" s="2" t="s">
        <v>349</v>
      </c>
    </row>
    <row r="186" spans="1:3">
      <c r="A186" s="12" t="s">
        <v>1457</v>
      </c>
    </row>
    <row r="187" spans="1:3">
      <c r="A187" s="12" t="s">
        <v>1458</v>
      </c>
    </row>
    <row r="188" spans="1:3">
      <c r="A188" s="12" t="s">
        <v>1459</v>
      </c>
    </row>
    <row r="189" spans="1:3">
      <c r="A189" s="12" t="s">
        <v>1460</v>
      </c>
    </row>
    <row r="190" spans="1:3">
      <c r="A190" s="12" t="s">
        <v>1461</v>
      </c>
    </row>
    <row r="191" spans="1:3">
      <c r="A191" s="12" t="s">
        <v>1462</v>
      </c>
    </row>
    <row r="192" spans="1:3">
      <c r="A192" s="12" t="s">
        <v>1463</v>
      </c>
    </row>
    <row r="193" spans="1:7">
      <c r="A193" s="12" t="s">
        <v>1464</v>
      </c>
    </row>
    <row r="194" spans="1:7">
      <c r="A194" s="26" t="s">
        <v>352</v>
      </c>
      <c r="B194" s="26" t="s">
        <v>411</v>
      </c>
      <c r="C194" s="26" t="s">
        <v>483</v>
      </c>
      <c r="D194" s="26" t="s">
        <v>483</v>
      </c>
      <c r="E194" s="26" t="s">
        <v>482</v>
      </c>
      <c r="F194" s="26" t="s">
        <v>482</v>
      </c>
    </row>
    <row r="195" spans="1:7">
      <c r="A195" s="26" t="s">
        <v>355</v>
      </c>
      <c r="B195" s="26" t="s">
        <v>413</v>
      </c>
      <c r="C195" s="26" t="s">
        <v>534</v>
      </c>
      <c r="D195" s="26" t="s">
        <v>535</v>
      </c>
      <c r="E195" s="26" t="s">
        <v>1465</v>
      </c>
      <c r="F195" s="26" t="s">
        <v>1466</v>
      </c>
    </row>
    <row r="197" spans="1:7">
      <c r="B197" s="3" t="s">
        <v>1071</v>
      </c>
      <c r="C197" s="3" t="s">
        <v>1467</v>
      </c>
      <c r="D197" s="3" t="s">
        <v>1468</v>
      </c>
      <c r="E197" s="3" t="s">
        <v>1469</v>
      </c>
      <c r="F197" s="3" t="s">
        <v>1470</v>
      </c>
    </row>
    <row r="198" spans="1:7">
      <c r="A198" s="11" t="s">
        <v>1471</v>
      </c>
      <c r="B198" s="17">
        <f>'Revenue'!B64</f>
        <v>0</v>
      </c>
      <c r="C198" s="17">
        <f>SUM('Adder'!H$742:H$766)</f>
        <v>0</v>
      </c>
      <c r="D198" s="17">
        <f>SUM(B$158:B$182)</f>
        <v>0</v>
      </c>
      <c r="E198" s="17">
        <f>B198+C198+D198</f>
        <v>0</v>
      </c>
      <c r="F198" s="17">
        <f>E198-'Revenue'!B$53</f>
        <v>0</v>
      </c>
      <c r="G198" s="10"/>
    </row>
    <row r="200" spans="1:7">
      <c r="A200" s="1" t="s">
        <v>1472</v>
      </c>
    </row>
    <row r="201" spans="1:7">
      <c r="A201" s="2" t="s">
        <v>349</v>
      </c>
    </row>
    <row r="202" spans="1:7">
      <c r="A202" s="12" t="s">
        <v>1473</v>
      </c>
    </row>
    <row r="203" spans="1:7">
      <c r="A203" s="12" t="s">
        <v>1474</v>
      </c>
    </row>
    <row r="204" spans="1:7">
      <c r="A204" s="12" t="s">
        <v>1475</v>
      </c>
    </row>
    <row r="205" spans="1:7">
      <c r="A205" s="12" t="s">
        <v>1476</v>
      </c>
    </row>
    <row r="206" spans="1:7">
      <c r="A206" s="12" t="s">
        <v>1477</v>
      </c>
    </row>
    <row r="207" spans="1:7">
      <c r="A207" s="12" t="s">
        <v>1478</v>
      </c>
    </row>
    <row r="208" spans="1:7">
      <c r="A208" s="12" t="s">
        <v>1479</v>
      </c>
    </row>
    <row r="209" spans="1:8">
      <c r="A209" s="12" t="s">
        <v>1480</v>
      </c>
    </row>
    <row r="210" spans="1:8">
      <c r="A210" s="26" t="s">
        <v>352</v>
      </c>
      <c r="B210" s="26" t="s">
        <v>482</v>
      </c>
      <c r="C210" s="26" t="s">
        <v>482</v>
      </c>
      <c r="D210" s="26" t="s">
        <v>482</v>
      </c>
      <c r="E210" s="26" t="s">
        <v>482</v>
      </c>
      <c r="F210" s="26" t="s">
        <v>482</v>
      </c>
      <c r="G210" s="26" t="s">
        <v>482</v>
      </c>
    </row>
    <row r="211" spans="1:8">
      <c r="A211" s="26" t="s">
        <v>355</v>
      </c>
      <c r="B211" s="26" t="s">
        <v>1481</v>
      </c>
      <c r="C211" s="26" t="s">
        <v>1482</v>
      </c>
      <c r="D211" s="26" t="s">
        <v>1483</v>
      </c>
      <c r="E211" s="26" t="s">
        <v>1484</v>
      </c>
      <c r="F211" s="26" t="s">
        <v>1485</v>
      </c>
      <c r="G211" s="26" t="s">
        <v>1486</v>
      </c>
    </row>
    <row r="213" spans="1:8">
      <c r="B213" s="3" t="s">
        <v>1416</v>
      </c>
      <c r="C213" s="3" t="s">
        <v>1417</v>
      </c>
      <c r="D213" s="3" t="s">
        <v>1418</v>
      </c>
      <c r="E213" s="3" t="s">
        <v>1419</v>
      </c>
      <c r="F213" s="3" t="s">
        <v>1420</v>
      </c>
      <c r="G213" s="3" t="s">
        <v>1047</v>
      </c>
    </row>
    <row r="214" spans="1:8">
      <c r="A214" s="22" t="s">
        <v>227</v>
      </c>
      <c r="H214" s="10"/>
    </row>
    <row r="215" spans="1:8">
      <c r="A215" s="11" t="s">
        <v>172</v>
      </c>
      <c r="B215" s="6">
        <f>ROUND(B$114*(1-'Loads'!$B181),3)</f>
        <v>0</v>
      </c>
      <c r="C215" s="6">
        <f>ROUND(C$114*(1-'Loads'!$B181),3)</f>
        <v>0</v>
      </c>
      <c r="D215" s="6">
        <f>ROUND(D$114*(1-'Loads'!$B181),3)</f>
        <v>0</v>
      </c>
      <c r="E215" s="35">
        <f>ROUND(E$114*(1-'Loads'!$C181),2)</f>
        <v>0</v>
      </c>
      <c r="F215" s="35">
        <f>ROUND(F$114*(1-'Loads'!$B181),2)</f>
        <v>0</v>
      </c>
      <c r="G215" s="6">
        <f>ROUND(G$114*(1-'Loads'!$B181),3)</f>
        <v>0</v>
      </c>
      <c r="H215" s="10"/>
    </row>
    <row r="216" spans="1:8">
      <c r="A216" s="11" t="s">
        <v>228</v>
      </c>
      <c r="B216" s="6">
        <f>ROUND(B$114*(1-'Loads'!$B182),3)</f>
        <v>0</v>
      </c>
      <c r="C216" s="6">
        <f>ROUND(C$114*(1-'Loads'!$B182),3)</f>
        <v>0</v>
      </c>
      <c r="D216" s="6">
        <f>ROUND(D$114*(1-'Loads'!$B182),3)</f>
        <v>0</v>
      </c>
      <c r="E216" s="35">
        <f>ROUND(E$114*(1-'Loads'!$C182),2)</f>
        <v>0</v>
      </c>
      <c r="F216" s="35">
        <f>ROUND(F$114*(1-'Loads'!$B182),2)</f>
        <v>0</v>
      </c>
      <c r="G216" s="6">
        <f>ROUND(G$114*(1-'Loads'!$B182),3)</f>
        <v>0</v>
      </c>
      <c r="H216" s="10"/>
    </row>
    <row r="217" spans="1:8">
      <c r="A217" s="11" t="s">
        <v>229</v>
      </c>
      <c r="B217" s="6">
        <f>ROUND(B$114*(1-'Loads'!$B183),3)</f>
        <v>0</v>
      </c>
      <c r="C217" s="6">
        <f>ROUND(C$114*(1-'Loads'!$B183),3)</f>
        <v>0</v>
      </c>
      <c r="D217" s="6">
        <f>ROUND(D$114*(1-'Loads'!$B183),3)</f>
        <v>0</v>
      </c>
      <c r="E217" s="35">
        <f>ROUND(E$114*(1-'Loads'!$C183),2)</f>
        <v>0</v>
      </c>
      <c r="F217" s="35">
        <f>ROUND(F$114*(1-'Loads'!$B183),2)</f>
        <v>0</v>
      </c>
      <c r="G217" s="6">
        <f>ROUND(G$114*(1-'Loads'!$B183),3)</f>
        <v>0</v>
      </c>
      <c r="H217" s="10"/>
    </row>
    <row r="218" spans="1:8">
      <c r="A218" s="22" t="s">
        <v>230</v>
      </c>
      <c r="H218" s="10"/>
    </row>
    <row r="219" spans="1:8">
      <c r="A219" s="11" t="s">
        <v>173</v>
      </c>
      <c r="B219" s="6">
        <f>ROUND(B$115*(1-'Loads'!$B185),3)</f>
        <v>0</v>
      </c>
      <c r="C219" s="6">
        <f>ROUND(C$115*(1-'Loads'!$B185),3)</f>
        <v>0</v>
      </c>
      <c r="D219" s="6">
        <f>ROUND(D$115*(1-'Loads'!$B185),3)</f>
        <v>0</v>
      </c>
      <c r="E219" s="35">
        <f>ROUND(E$115*(1-'Loads'!$C185),2)</f>
        <v>0</v>
      </c>
      <c r="F219" s="35">
        <f>ROUND(F$115*(1-'Loads'!$B185),2)</f>
        <v>0</v>
      </c>
      <c r="G219" s="6">
        <f>ROUND(G$115*(1-'Loads'!$B185),3)</f>
        <v>0</v>
      </c>
      <c r="H219" s="10"/>
    </row>
    <row r="220" spans="1:8">
      <c r="A220" s="11" t="s">
        <v>231</v>
      </c>
      <c r="B220" s="6">
        <f>ROUND(B$115*(1-'Loads'!$B186),3)</f>
        <v>0</v>
      </c>
      <c r="C220" s="6">
        <f>ROUND(C$115*(1-'Loads'!$B186),3)</f>
        <v>0</v>
      </c>
      <c r="D220" s="6">
        <f>ROUND(D$115*(1-'Loads'!$B186),3)</f>
        <v>0</v>
      </c>
      <c r="E220" s="35">
        <f>ROUND(E$115*(1-'Loads'!$C186),2)</f>
        <v>0</v>
      </c>
      <c r="F220" s="35">
        <f>ROUND(F$115*(1-'Loads'!$B186),2)</f>
        <v>0</v>
      </c>
      <c r="G220" s="6">
        <f>ROUND(G$115*(1-'Loads'!$B186),3)</f>
        <v>0</v>
      </c>
      <c r="H220" s="10"/>
    </row>
    <row r="221" spans="1:8">
      <c r="A221" s="11" t="s">
        <v>232</v>
      </c>
      <c r="B221" s="6">
        <f>ROUND(B$115*(1-'Loads'!$B187),3)</f>
        <v>0</v>
      </c>
      <c r="C221" s="6">
        <f>ROUND(C$115*(1-'Loads'!$B187),3)</f>
        <v>0</v>
      </c>
      <c r="D221" s="6">
        <f>ROUND(D$115*(1-'Loads'!$B187),3)</f>
        <v>0</v>
      </c>
      <c r="E221" s="35">
        <f>ROUND(E$115*(1-'Loads'!$C187),2)</f>
        <v>0</v>
      </c>
      <c r="F221" s="35">
        <f>ROUND(F$115*(1-'Loads'!$B187),2)</f>
        <v>0</v>
      </c>
      <c r="G221" s="6">
        <f>ROUND(G$115*(1-'Loads'!$B187),3)</f>
        <v>0</v>
      </c>
      <c r="H221" s="10"/>
    </row>
    <row r="222" spans="1:8">
      <c r="A222" s="22" t="s">
        <v>233</v>
      </c>
      <c r="H222" s="10"/>
    </row>
    <row r="223" spans="1:8">
      <c r="A223" s="11" t="s">
        <v>210</v>
      </c>
      <c r="B223" s="6">
        <f>ROUND(B$116*(1-'Loads'!$B189),3)</f>
        <v>0</v>
      </c>
      <c r="C223" s="6">
        <f>ROUND(C$116*(1-'Loads'!$B189),3)</f>
        <v>0</v>
      </c>
      <c r="D223" s="6">
        <f>ROUND(D$116*(1-'Loads'!$B189),3)</f>
        <v>0</v>
      </c>
      <c r="E223" s="35">
        <f>ROUND(E$116*(1-'Loads'!$C189),2)</f>
        <v>0</v>
      </c>
      <c r="F223" s="35">
        <f>ROUND(F$116*(1-'Loads'!$B189),2)</f>
        <v>0</v>
      </c>
      <c r="G223" s="6">
        <f>ROUND(G$116*(1-'Loads'!$B189),3)</f>
        <v>0</v>
      </c>
      <c r="H223" s="10"/>
    </row>
    <row r="224" spans="1:8">
      <c r="A224" s="11" t="s">
        <v>234</v>
      </c>
      <c r="B224" s="6">
        <f>ROUND(B$116*(1-'Loads'!$B190),3)</f>
        <v>0</v>
      </c>
      <c r="C224" s="6">
        <f>ROUND(C$116*(1-'Loads'!$B190),3)</f>
        <v>0</v>
      </c>
      <c r="D224" s="6">
        <f>ROUND(D$116*(1-'Loads'!$B190),3)</f>
        <v>0</v>
      </c>
      <c r="E224" s="35">
        <f>ROUND(E$116*(1-'Loads'!$C190),2)</f>
        <v>0</v>
      </c>
      <c r="F224" s="35">
        <f>ROUND(F$116*(1-'Loads'!$B190),2)</f>
        <v>0</v>
      </c>
      <c r="G224" s="6">
        <f>ROUND(G$116*(1-'Loads'!$B190),3)</f>
        <v>0</v>
      </c>
      <c r="H224" s="10"/>
    </row>
    <row r="225" spans="1:8">
      <c r="A225" s="11" t="s">
        <v>235</v>
      </c>
      <c r="B225" s="6">
        <f>ROUND(B$116*(1-'Loads'!$B191),3)</f>
        <v>0</v>
      </c>
      <c r="C225" s="6">
        <f>ROUND(C$116*(1-'Loads'!$B191),3)</f>
        <v>0</v>
      </c>
      <c r="D225" s="6">
        <f>ROUND(D$116*(1-'Loads'!$B191),3)</f>
        <v>0</v>
      </c>
      <c r="E225" s="35">
        <f>ROUND(E$116*(1-'Loads'!$C191),2)</f>
        <v>0</v>
      </c>
      <c r="F225" s="35">
        <f>ROUND(F$116*(1-'Loads'!$B191),2)</f>
        <v>0</v>
      </c>
      <c r="G225" s="6">
        <f>ROUND(G$116*(1-'Loads'!$B191),3)</f>
        <v>0</v>
      </c>
      <c r="H225" s="10"/>
    </row>
    <row r="226" spans="1:8">
      <c r="A226" s="22" t="s">
        <v>236</v>
      </c>
      <c r="H226" s="10"/>
    </row>
    <row r="227" spans="1:8">
      <c r="A227" s="11" t="s">
        <v>174</v>
      </c>
      <c r="B227" s="6">
        <f>ROUND(B$117*(1-'Loads'!$B193),3)</f>
        <v>0</v>
      </c>
      <c r="C227" s="6">
        <f>ROUND(C$117*(1-'Loads'!$B193),3)</f>
        <v>0</v>
      </c>
      <c r="D227" s="6">
        <f>ROUND(D$117*(1-'Loads'!$B193),3)</f>
        <v>0</v>
      </c>
      <c r="E227" s="35">
        <f>ROUND(E$117*(1-'Loads'!$C193),2)</f>
        <v>0</v>
      </c>
      <c r="F227" s="35">
        <f>ROUND(F$117*(1-'Loads'!$B193),2)</f>
        <v>0</v>
      </c>
      <c r="G227" s="6">
        <f>ROUND(G$117*(1-'Loads'!$B193),3)</f>
        <v>0</v>
      </c>
      <c r="H227" s="10"/>
    </row>
    <row r="228" spans="1:8">
      <c r="A228" s="11" t="s">
        <v>237</v>
      </c>
      <c r="B228" s="6">
        <f>ROUND(B$117*(1-'Loads'!$B194),3)</f>
        <v>0</v>
      </c>
      <c r="C228" s="6">
        <f>ROUND(C$117*(1-'Loads'!$B194),3)</f>
        <v>0</v>
      </c>
      <c r="D228" s="6">
        <f>ROUND(D$117*(1-'Loads'!$B194),3)</f>
        <v>0</v>
      </c>
      <c r="E228" s="35">
        <f>ROUND(E$117*(1-'Loads'!$C194),2)</f>
        <v>0</v>
      </c>
      <c r="F228" s="35">
        <f>ROUND(F$117*(1-'Loads'!$B194),2)</f>
        <v>0</v>
      </c>
      <c r="G228" s="6">
        <f>ROUND(G$117*(1-'Loads'!$B194),3)</f>
        <v>0</v>
      </c>
      <c r="H228" s="10"/>
    </row>
    <row r="229" spans="1:8">
      <c r="A229" s="11" t="s">
        <v>238</v>
      </c>
      <c r="B229" s="6">
        <f>ROUND(B$117*(1-'Loads'!$B195),3)</f>
        <v>0</v>
      </c>
      <c r="C229" s="6">
        <f>ROUND(C$117*(1-'Loads'!$B195),3)</f>
        <v>0</v>
      </c>
      <c r="D229" s="6">
        <f>ROUND(D$117*(1-'Loads'!$B195),3)</f>
        <v>0</v>
      </c>
      <c r="E229" s="35">
        <f>ROUND(E$117*(1-'Loads'!$C195),2)</f>
        <v>0</v>
      </c>
      <c r="F229" s="35">
        <f>ROUND(F$117*(1-'Loads'!$B195),2)</f>
        <v>0</v>
      </c>
      <c r="G229" s="6">
        <f>ROUND(G$117*(1-'Loads'!$B195),3)</f>
        <v>0</v>
      </c>
      <c r="H229" s="10"/>
    </row>
    <row r="230" spans="1:8">
      <c r="A230" s="22" t="s">
        <v>239</v>
      </c>
      <c r="H230" s="10"/>
    </row>
    <row r="231" spans="1:8">
      <c r="A231" s="11" t="s">
        <v>175</v>
      </c>
      <c r="B231" s="6">
        <f>ROUND(B$118*(1-'Loads'!$B197),3)</f>
        <v>0</v>
      </c>
      <c r="C231" s="6">
        <f>ROUND(C$118*(1-'Loads'!$B197),3)</f>
        <v>0</v>
      </c>
      <c r="D231" s="6">
        <f>ROUND(D$118*(1-'Loads'!$B197),3)</f>
        <v>0</v>
      </c>
      <c r="E231" s="35">
        <f>ROUND(E$118*(1-'Loads'!$C197),2)</f>
        <v>0</v>
      </c>
      <c r="F231" s="35">
        <f>ROUND(F$118*(1-'Loads'!$B197),2)</f>
        <v>0</v>
      </c>
      <c r="G231" s="6">
        <f>ROUND(G$118*(1-'Loads'!$B197),3)</f>
        <v>0</v>
      </c>
      <c r="H231" s="10"/>
    </row>
    <row r="232" spans="1:8">
      <c r="A232" s="11" t="s">
        <v>240</v>
      </c>
      <c r="B232" s="6">
        <f>ROUND(B$118*(1-'Loads'!$B198),3)</f>
        <v>0</v>
      </c>
      <c r="C232" s="6">
        <f>ROUND(C$118*(1-'Loads'!$B198),3)</f>
        <v>0</v>
      </c>
      <c r="D232" s="6">
        <f>ROUND(D$118*(1-'Loads'!$B198),3)</f>
        <v>0</v>
      </c>
      <c r="E232" s="35">
        <f>ROUND(E$118*(1-'Loads'!$C198),2)</f>
        <v>0</v>
      </c>
      <c r="F232" s="35">
        <f>ROUND(F$118*(1-'Loads'!$B198),2)</f>
        <v>0</v>
      </c>
      <c r="G232" s="6">
        <f>ROUND(G$118*(1-'Loads'!$B198),3)</f>
        <v>0</v>
      </c>
      <c r="H232" s="10"/>
    </row>
    <row r="233" spans="1:8">
      <c r="A233" s="11" t="s">
        <v>241</v>
      </c>
      <c r="B233" s="6">
        <f>ROUND(B$118*(1-'Loads'!$B199),3)</f>
        <v>0</v>
      </c>
      <c r="C233" s="6">
        <f>ROUND(C$118*(1-'Loads'!$B199),3)</f>
        <v>0</v>
      </c>
      <c r="D233" s="6">
        <f>ROUND(D$118*(1-'Loads'!$B199),3)</f>
        <v>0</v>
      </c>
      <c r="E233" s="35">
        <f>ROUND(E$118*(1-'Loads'!$C199),2)</f>
        <v>0</v>
      </c>
      <c r="F233" s="35">
        <f>ROUND(F$118*(1-'Loads'!$B199),2)</f>
        <v>0</v>
      </c>
      <c r="G233" s="6">
        <f>ROUND(G$118*(1-'Loads'!$B199),3)</f>
        <v>0</v>
      </c>
      <c r="H233" s="10"/>
    </row>
    <row r="234" spans="1:8">
      <c r="A234" s="22" t="s">
        <v>242</v>
      </c>
      <c r="H234" s="10"/>
    </row>
    <row r="235" spans="1:8">
      <c r="A235" s="11" t="s">
        <v>211</v>
      </c>
      <c r="B235" s="6">
        <f>ROUND(B$119*(1-'Loads'!$B201),3)</f>
        <v>0</v>
      </c>
      <c r="C235" s="6">
        <f>ROUND(C$119*(1-'Loads'!$B201),3)</f>
        <v>0</v>
      </c>
      <c r="D235" s="6">
        <f>ROUND(D$119*(1-'Loads'!$B201),3)</f>
        <v>0</v>
      </c>
      <c r="E235" s="35">
        <f>ROUND(E$119*(1-'Loads'!$C201),2)</f>
        <v>0</v>
      </c>
      <c r="F235" s="35">
        <f>ROUND(F$119*(1-'Loads'!$B201),2)</f>
        <v>0</v>
      </c>
      <c r="G235" s="6">
        <f>ROUND(G$119*(1-'Loads'!$B201),3)</f>
        <v>0</v>
      </c>
      <c r="H235" s="10"/>
    </row>
    <row r="236" spans="1:8">
      <c r="A236" s="11" t="s">
        <v>243</v>
      </c>
      <c r="B236" s="6">
        <f>ROUND(B$119*(1-'Loads'!$B202),3)</f>
        <v>0</v>
      </c>
      <c r="C236" s="6">
        <f>ROUND(C$119*(1-'Loads'!$B202),3)</f>
        <v>0</v>
      </c>
      <c r="D236" s="6">
        <f>ROUND(D$119*(1-'Loads'!$B202),3)</f>
        <v>0</v>
      </c>
      <c r="E236" s="35">
        <f>ROUND(E$119*(1-'Loads'!$C202),2)</f>
        <v>0</v>
      </c>
      <c r="F236" s="35">
        <f>ROUND(F$119*(1-'Loads'!$B202),2)</f>
        <v>0</v>
      </c>
      <c r="G236" s="6">
        <f>ROUND(G$119*(1-'Loads'!$B202),3)</f>
        <v>0</v>
      </c>
      <c r="H236" s="10"/>
    </row>
    <row r="237" spans="1:8">
      <c r="A237" s="11" t="s">
        <v>244</v>
      </c>
      <c r="B237" s="6">
        <f>ROUND(B$119*(1-'Loads'!$B203),3)</f>
        <v>0</v>
      </c>
      <c r="C237" s="6">
        <f>ROUND(C$119*(1-'Loads'!$B203),3)</f>
        <v>0</v>
      </c>
      <c r="D237" s="6">
        <f>ROUND(D$119*(1-'Loads'!$B203),3)</f>
        <v>0</v>
      </c>
      <c r="E237" s="35">
        <f>ROUND(E$119*(1-'Loads'!$C203),2)</f>
        <v>0</v>
      </c>
      <c r="F237" s="35">
        <f>ROUND(F$119*(1-'Loads'!$B203),2)</f>
        <v>0</v>
      </c>
      <c r="G237" s="6">
        <f>ROUND(G$119*(1-'Loads'!$B203),3)</f>
        <v>0</v>
      </c>
      <c r="H237" s="10"/>
    </row>
    <row r="238" spans="1:8">
      <c r="A238" s="22" t="s">
        <v>245</v>
      </c>
      <c r="H238" s="10"/>
    </row>
    <row r="239" spans="1:8">
      <c r="A239" s="11" t="s">
        <v>176</v>
      </c>
      <c r="B239" s="6">
        <f>ROUND(B$120*(1-'Loads'!$B205),3)</f>
        <v>0</v>
      </c>
      <c r="C239" s="6">
        <f>ROUND(C$120*(1-'Loads'!$B205),3)</f>
        <v>0</v>
      </c>
      <c r="D239" s="6">
        <f>ROUND(D$120*(1-'Loads'!$B205),3)</f>
        <v>0</v>
      </c>
      <c r="E239" s="35">
        <f>ROUND(E$120*(1-'Loads'!$C205),2)</f>
        <v>0</v>
      </c>
      <c r="F239" s="35">
        <f>ROUND(F$120*(1-'Loads'!$B205),2)</f>
        <v>0</v>
      </c>
      <c r="G239" s="6">
        <f>ROUND(G$120*(1-'Loads'!$B205),3)</f>
        <v>0</v>
      </c>
      <c r="H239" s="10"/>
    </row>
    <row r="240" spans="1:8">
      <c r="A240" s="11" t="s">
        <v>246</v>
      </c>
      <c r="B240" s="6">
        <f>ROUND(B$120*(1-'Loads'!$B206),3)</f>
        <v>0</v>
      </c>
      <c r="C240" s="6">
        <f>ROUND(C$120*(1-'Loads'!$B206),3)</f>
        <v>0</v>
      </c>
      <c r="D240" s="6">
        <f>ROUND(D$120*(1-'Loads'!$B206),3)</f>
        <v>0</v>
      </c>
      <c r="E240" s="35">
        <f>ROUND(E$120*(1-'Loads'!$C206),2)</f>
        <v>0</v>
      </c>
      <c r="F240" s="35">
        <f>ROUND(F$120*(1-'Loads'!$B206),2)</f>
        <v>0</v>
      </c>
      <c r="G240" s="6">
        <f>ROUND(G$120*(1-'Loads'!$B206),3)</f>
        <v>0</v>
      </c>
      <c r="H240" s="10"/>
    </row>
    <row r="241" spans="1:8">
      <c r="A241" s="11" t="s">
        <v>247</v>
      </c>
      <c r="B241" s="6">
        <f>ROUND(B$120*(1-'Loads'!$B207),3)</f>
        <v>0</v>
      </c>
      <c r="C241" s="6">
        <f>ROUND(C$120*(1-'Loads'!$B207),3)</f>
        <v>0</v>
      </c>
      <c r="D241" s="6">
        <f>ROUND(D$120*(1-'Loads'!$B207),3)</f>
        <v>0</v>
      </c>
      <c r="E241" s="35">
        <f>ROUND(E$120*(1-'Loads'!$C207),2)</f>
        <v>0</v>
      </c>
      <c r="F241" s="35">
        <f>ROUND(F$120*(1-'Loads'!$B207),2)</f>
        <v>0</v>
      </c>
      <c r="G241" s="6">
        <f>ROUND(G$120*(1-'Loads'!$B207),3)</f>
        <v>0</v>
      </c>
      <c r="H241" s="10"/>
    </row>
    <row r="242" spans="1:8">
      <c r="A242" s="22" t="s">
        <v>248</v>
      </c>
      <c r="H242" s="10"/>
    </row>
    <row r="243" spans="1:8">
      <c r="A243" s="11" t="s">
        <v>177</v>
      </c>
      <c r="B243" s="6">
        <f>ROUND(B$121*(1-'Loads'!$B209),3)</f>
        <v>0</v>
      </c>
      <c r="C243" s="6">
        <f>ROUND(C$121*(1-'Loads'!$B209),3)</f>
        <v>0</v>
      </c>
      <c r="D243" s="6">
        <f>ROUND(D$121*(1-'Loads'!$B209),3)</f>
        <v>0</v>
      </c>
      <c r="E243" s="35">
        <f>ROUND(E$121*(1-'Loads'!$C209),2)</f>
        <v>0</v>
      </c>
      <c r="F243" s="35">
        <f>ROUND(F$121*(1-'Loads'!$B209),2)</f>
        <v>0</v>
      </c>
      <c r="G243" s="6">
        <f>ROUND(G$121*(1-'Loads'!$B209),3)</f>
        <v>0</v>
      </c>
      <c r="H243" s="10"/>
    </row>
    <row r="244" spans="1:8">
      <c r="A244" s="22" t="s">
        <v>249</v>
      </c>
      <c r="H244" s="10"/>
    </row>
    <row r="245" spans="1:8">
      <c r="A245" s="11" t="s">
        <v>191</v>
      </c>
      <c r="B245" s="6">
        <f>ROUND(B$122*(1-'Loads'!$B211),3)</f>
        <v>0</v>
      </c>
      <c r="C245" s="6">
        <f>ROUND(C$122*(1-'Loads'!$B211),3)</f>
        <v>0</v>
      </c>
      <c r="D245" s="6">
        <f>ROUND(D$122*(1-'Loads'!$B211),3)</f>
        <v>0</v>
      </c>
      <c r="E245" s="35">
        <f>ROUND(E$122*(1-'Loads'!$C211),2)</f>
        <v>0</v>
      </c>
      <c r="F245" s="35">
        <f>ROUND(F$122*(1-'Loads'!$B211),2)</f>
        <v>0</v>
      </c>
      <c r="G245" s="6">
        <f>ROUND(G$122*(1-'Loads'!$B211),3)</f>
        <v>0</v>
      </c>
      <c r="H245" s="10"/>
    </row>
    <row r="246" spans="1:8">
      <c r="A246" s="22" t="s">
        <v>250</v>
      </c>
      <c r="H246" s="10"/>
    </row>
    <row r="247" spans="1:8">
      <c r="A247" s="11" t="s">
        <v>178</v>
      </c>
      <c r="B247" s="6">
        <f>ROUND(B$123*(1-'Loads'!$B213),3)</f>
        <v>0</v>
      </c>
      <c r="C247" s="6">
        <f>ROUND(C$123*(1-'Loads'!$B213),3)</f>
        <v>0</v>
      </c>
      <c r="D247" s="6">
        <f>ROUND(D$123*(1-'Loads'!$B213),3)</f>
        <v>0</v>
      </c>
      <c r="E247" s="35">
        <f>ROUND(E$123*(1-'Loads'!$C213),2)</f>
        <v>0</v>
      </c>
      <c r="F247" s="35">
        <f>ROUND(F$123*(1-'Loads'!$B213),2)</f>
        <v>0</v>
      </c>
      <c r="G247" s="6">
        <f>ROUND(G$123*(1-'Loads'!$B213),3)</f>
        <v>0</v>
      </c>
      <c r="H247" s="10"/>
    </row>
    <row r="248" spans="1:8">
      <c r="A248" s="11" t="s">
        <v>251</v>
      </c>
      <c r="B248" s="6">
        <f>ROUND(B$123*(1-'Loads'!$B214),3)</f>
        <v>0</v>
      </c>
      <c r="C248" s="6">
        <f>ROUND(C$123*(1-'Loads'!$B214),3)</f>
        <v>0</v>
      </c>
      <c r="D248" s="6">
        <f>ROUND(D$123*(1-'Loads'!$B214),3)</f>
        <v>0</v>
      </c>
      <c r="E248" s="35">
        <f>ROUND(E$123*(1-'Loads'!$C214),2)</f>
        <v>0</v>
      </c>
      <c r="F248" s="35">
        <f>ROUND(F$123*(1-'Loads'!$B214),2)</f>
        <v>0</v>
      </c>
      <c r="G248" s="6">
        <f>ROUND(G$123*(1-'Loads'!$B214),3)</f>
        <v>0</v>
      </c>
      <c r="H248" s="10"/>
    </row>
    <row r="249" spans="1:8">
      <c r="A249" s="11" t="s">
        <v>252</v>
      </c>
      <c r="B249" s="6">
        <f>ROUND(B$123*(1-'Loads'!$B215),3)</f>
        <v>0</v>
      </c>
      <c r="C249" s="6">
        <f>ROUND(C$123*(1-'Loads'!$B215),3)</f>
        <v>0</v>
      </c>
      <c r="D249" s="6">
        <f>ROUND(D$123*(1-'Loads'!$B215),3)</f>
        <v>0</v>
      </c>
      <c r="E249" s="35">
        <f>ROUND(E$123*(1-'Loads'!$C215),2)</f>
        <v>0</v>
      </c>
      <c r="F249" s="35">
        <f>ROUND(F$123*(1-'Loads'!$B215),2)</f>
        <v>0</v>
      </c>
      <c r="G249" s="6">
        <f>ROUND(G$123*(1-'Loads'!$B215),3)</f>
        <v>0</v>
      </c>
      <c r="H249" s="10"/>
    </row>
    <row r="250" spans="1:8">
      <c r="A250" s="22" t="s">
        <v>253</v>
      </c>
      <c r="H250" s="10"/>
    </row>
    <row r="251" spans="1:8">
      <c r="A251" s="11" t="s">
        <v>179</v>
      </c>
      <c r="B251" s="6">
        <f>ROUND(B$124*(1-'Loads'!$B217),3)</f>
        <v>0</v>
      </c>
      <c r="C251" s="6">
        <f>ROUND(C$124*(1-'Loads'!$B217),3)</f>
        <v>0</v>
      </c>
      <c r="D251" s="6">
        <f>ROUND(D$124*(1-'Loads'!$B217),3)</f>
        <v>0</v>
      </c>
      <c r="E251" s="35">
        <f>ROUND(E$124*(1-'Loads'!$C217),2)</f>
        <v>0</v>
      </c>
      <c r="F251" s="35">
        <f>ROUND(F$124*(1-'Loads'!$B217),2)</f>
        <v>0</v>
      </c>
      <c r="G251" s="6">
        <f>ROUND(G$124*(1-'Loads'!$B217),3)</f>
        <v>0</v>
      </c>
      <c r="H251" s="10"/>
    </row>
    <row r="252" spans="1:8">
      <c r="A252" s="11" t="s">
        <v>254</v>
      </c>
      <c r="B252" s="6">
        <f>ROUND(B$124*(1-'Loads'!$B218),3)</f>
        <v>0</v>
      </c>
      <c r="C252" s="6">
        <f>ROUND(C$124*(1-'Loads'!$B218),3)</f>
        <v>0</v>
      </c>
      <c r="D252" s="6">
        <f>ROUND(D$124*(1-'Loads'!$B218),3)</f>
        <v>0</v>
      </c>
      <c r="E252" s="35">
        <f>ROUND(E$124*(1-'Loads'!$C218),2)</f>
        <v>0</v>
      </c>
      <c r="F252" s="35">
        <f>ROUND(F$124*(1-'Loads'!$B218),2)</f>
        <v>0</v>
      </c>
      <c r="G252" s="6">
        <f>ROUND(G$124*(1-'Loads'!$B218),3)</f>
        <v>0</v>
      </c>
      <c r="H252" s="10"/>
    </row>
    <row r="253" spans="1:8">
      <c r="A253" s="22" t="s">
        <v>255</v>
      </c>
      <c r="H253" s="10"/>
    </row>
    <row r="254" spans="1:8">
      <c r="A254" s="11" t="s">
        <v>192</v>
      </c>
      <c r="B254" s="6">
        <f>ROUND(B$125*(1-'Loads'!$B220),3)</f>
        <v>0</v>
      </c>
      <c r="C254" s="6">
        <f>ROUND(C$125*(1-'Loads'!$B220),3)</f>
        <v>0</v>
      </c>
      <c r="D254" s="6">
        <f>ROUND(D$125*(1-'Loads'!$B220),3)</f>
        <v>0</v>
      </c>
      <c r="E254" s="35">
        <f>ROUND(E$125*(1-'Loads'!$C220),2)</f>
        <v>0</v>
      </c>
      <c r="F254" s="35">
        <f>ROUND(F$125*(1-'Loads'!$B220),2)</f>
        <v>0</v>
      </c>
      <c r="G254" s="6">
        <f>ROUND(G$125*(1-'Loads'!$B220),3)</f>
        <v>0</v>
      </c>
      <c r="H254" s="10"/>
    </row>
    <row r="255" spans="1:8">
      <c r="A255" s="11" t="s">
        <v>256</v>
      </c>
      <c r="B255" s="6">
        <f>ROUND(B$125*(1-'Loads'!$B221),3)</f>
        <v>0</v>
      </c>
      <c r="C255" s="6">
        <f>ROUND(C$125*(1-'Loads'!$B221),3)</f>
        <v>0</v>
      </c>
      <c r="D255" s="6">
        <f>ROUND(D$125*(1-'Loads'!$B221),3)</f>
        <v>0</v>
      </c>
      <c r="E255" s="35">
        <f>ROUND(E$125*(1-'Loads'!$C221),2)</f>
        <v>0</v>
      </c>
      <c r="F255" s="35">
        <f>ROUND(F$125*(1-'Loads'!$B221),2)</f>
        <v>0</v>
      </c>
      <c r="G255" s="6">
        <f>ROUND(G$125*(1-'Loads'!$B221),3)</f>
        <v>0</v>
      </c>
      <c r="H255" s="10"/>
    </row>
    <row r="256" spans="1:8">
      <c r="A256" s="22" t="s">
        <v>257</v>
      </c>
      <c r="H256" s="10"/>
    </row>
    <row r="257" spans="1:8">
      <c r="A257" s="11" t="s">
        <v>212</v>
      </c>
      <c r="B257" s="6">
        <f>ROUND(B$126*(1-'Loads'!$B223),3)</f>
        <v>0</v>
      </c>
      <c r="C257" s="6">
        <f>ROUND(C$126*(1-'Loads'!$B223),3)</f>
        <v>0</v>
      </c>
      <c r="D257" s="6">
        <f>ROUND(D$126*(1-'Loads'!$B223),3)</f>
        <v>0</v>
      </c>
      <c r="E257" s="35">
        <f>ROUND(E$126*(1-'Loads'!$C223),2)</f>
        <v>0</v>
      </c>
      <c r="F257" s="35">
        <f>ROUND(F$126*(1-'Loads'!$B223),2)</f>
        <v>0</v>
      </c>
      <c r="G257" s="6">
        <f>ROUND(G$126*(1-'Loads'!$B223),3)</f>
        <v>0</v>
      </c>
      <c r="H257" s="10"/>
    </row>
    <row r="258" spans="1:8">
      <c r="A258" s="11" t="s">
        <v>258</v>
      </c>
      <c r="B258" s="6">
        <f>ROUND(B$126*(1-'Loads'!$B224),3)</f>
        <v>0</v>
      </c>
      <c r="C258" s="6">
        <f>ROUND(C$126*(1-'Loads'!$B224),3)</f>
        <v>0</v>
      </c>
      <c r="D258" s="6">
        <f>ROUND(D$126*(1-'Loads'!$B224),3)</f>
        <v>0</v>
      </c>
      <c r="E258" s="35">
        <f>ROUND(E$126*(1-'Loads'!$C224),2)</f>
        <v>0</v>
      </c>
      <c r="F258" s="35">
        <f>ROUND(F$126*(1-'Loads'!$B224),2)</f>
        <v>0</v>
      </c>
      <c r="G258" s="6">
        <f>ROUND(G$126*(1-'Loads'!$B224),3)</f>
        <v>0</v>
      </c>
      <c r="H258" s="10"/>
    </row>
    <row r="259" spans="1:8">
      <c r="A259" s="11" t="s">
        <v>259</v>
      </c>
      <c r="B259" s="6">
        <f>ROUND(B$126*(1-'Loads'!$B225),3)</f>
        <v>0</v>
      </c>
      <c r="C259" s="6">
        <f>ROUND(C$126*(1-'Loads'!$B225),3)</f>
        <v>0</v>
      </c>
      <c r="D259" s="6">
        <f>ROUND(D$126*(1-'Loads'!$B225),3)</f>
        <v>0</v>
      </c>
      <c r="E259" s="35">
        <f>ROUND(E$126*(1-'Loads'!$C225),2)</f>
        <v>0</v>
      </c>
      <c r="F259" s="35">
        <f>ROUND(F$126*(1-'Loads'!$B225),2)</f>
        <v>0</v>
      </c>
      <c r="G259" s="6">
        <f>ROUND(G$126*(1-'Loads'!$B225),3)</f>
        <v>0</v>
      </c>
      <c r="H259" s="10"/>
    </row>
    <row r="260" spans="1:8">
      <c r="A260" s="22" t="s">
        <v>260</v>
      </c>
      <c r="H260" s="10"/>
    </row>
    <row r="261" spans="1:8">
      <c r="A261" s="11" t="s">
        <v>213</v>
      </c>
      <c r="B261" s="6">
        <f>ROUND(B$127*(1-'Loads'!$B227),3)</f>
        <v>0</v>
      </c>
      <c r="C261" s="6">
        <f>ROUND(C$127*(1-'Loads'!$B227),3)</f>
        <v>0</v>
      </c>
      <c r="D261" s="6">
        <f>ROUND(D$127*(1-'Loads'!$B227),3)</f>
        <v>0</v>
      </c>
      <c r="E261" s="35">
        <f>ROUND(E$127*(1-'Loads'!$C227),2)</f>
        <v>0</v>
      </c>
      <c r="F261" s="35">
        <f>ROUND(F$127*(1-'Loads'!$B227),2)</f>
        <v>0</v>
      </c>
      <c r="G261" s="6">
        <f>ROUND(G$127*(1-'Loads'!$B227),3)</f>
        <v>0</v>
      </c>
      <c r="H261" s="10"/>
    </row>
    <row r="262" spans="1:8">
      <c r="A262" s="11" t="s">
        <v>261</v>
      </c>
      <c r="B262" s="6">
        <f>ROUND(B$127*(1-'Loads'!$B228),3)</f>
        <v>0</v>
      </c>
      <c r="C262" s="6">
        <f>ROUND(C$127*(1-'Loads'!$B228),3)</f>
        <v>0</v>
      </c>
      <c r="D262" s="6">
        <f>ROUND(D$127*(1-'Loads'!$B228),3)</f>
        <v>0</v>
      </c>
      <c r="E262" s="35">
        <f>ROUND(E$127*(1-'Loads'!$C228),2)</f>
        <v>0</v>
      </c>
      <c r="F262" s="35">
        <f>ROUND(F$127*(1-'Loads'!$B228),2)</f>
        <v>0</v>
      </c>
      <c r="G262" s="6">
        <f>ROUND(G$127*(1-'Loads'!$B228),3)</f>
        <v>0</v>
      </c>
      <c r="H262" s="10"/>
    </row>
    <row r="263" spans="1:8">
      <c r="A263" s="11" t="s">
        <v>262</v>
      </c>
      <c r="B263" s="6">
        <f>ROUND(B$127*(1-'Loads'!$B229),3)</f>
        <v>0</v>
      </c>
      <c r="C263" s="6">
        <f>ROUND(C$127*(1-'Loads'!$B229),3)</f>
        <v>0</v>
      </c>
      <c r="D263" s="6">
        <f>ROUND(D$127*(1-'Loads'!$B229),3)</f>
        <v>0</v>
      </c>
      <c r="E263" s="35">
        <f>ROUND(E$127*(1-'Loads'!$C229),2)</f>
        <v>0</v>
      </c>
      <c r="F263" s="35">
        <f>ROUND(F$127*(1-'Loads'!$B229),2)</f>
        <v>0</v>
      </c>
      <c r="G263" s="6">
        <f>ROUND(G$127*(1-'Loads'!$B229),3)</f>
        <v>0</v>
      </c>
      <c r="H263" s="10"/>
    </row>
    <row r="264" spans="1:8">
      <c r="A264" s="22" t="s">
        <v>263</v>
      </c>
      <c r="H264" s="10"/>
    </row>
    <row r="265" spans="1:8">
      <c r="A265" s="11" t="s">
        <v>214</v>
      </c>
      <c r="B265" s="6">
        <f>ROUND(B$128*(1-'Loads'!$B231),3)</f>
        <v>0</v>
      </c>
      <c r="C265" s="6">
        <f>ROUND(C$128*(1-'Loads'!$B231),3)</f>
        <v>0</v>
      </c>
      <c r="D265" s="6">
        <f>ROUND(D$128*(1-'Loads'!$B231),3)</f>
        <v>0</v>
      </c>
      <c r="E265" s="35">
        <f>ROUND(E$128*(1-'Loads'!$C231),2)</f>
        <v>0</v>
      </c>
      <c r="F265" s="35">
        <f>ROUND(F$128*(1-'Loads'!$B231),2)</f>
        <v>0</v>
      </c>
      <c r="G265" s="6">
        <f>ROUND(G$128*(1-'Loads'!$B231),3)</f>
        <v>0</v>
      </c>
      <c r="H265" s="10"/>
    </row>
    <row r="266" spans="1:8">
      <c r="A266" s="11" t="s">
        <v>264</v>
      </c>
      <c r="B266" s="6">
        <f>ROUND(B$128*(1-'Loads'!$B232),3)</f>
        <v>0</v>
      </c>
      <c r="C266" s="6">
        <f>ROUND(C$128*(1-'Loads'!$B232),3)</f>
        <v>0</v>
      </c>
      <c r="D266" s="6">
        <f>ROUND(D$128*(1-'Loads'!$B232),3)</f>
        <v>0</v>
      </c>
      <c r="E266" s="35">
        <f>ROUND(E$128*(1-'Loads'!$C232),2)</f>
        <v>0</v>
      </c>
      <c r="F266" s="35">
        <f>ROUND(F$128*(1-'Loads'!$B232),2)</f>
        <v>0</v>
      </c>
      <c r="G266" s="6">
        <f>ROUND(G$128*(1-'Loads'!$B232),3)</f>
        <v>0</v>
      </c>
      <c r="H266" s="10"/>
    </row>
    <row r="267" spans="1:8">
      <c r="A267" s="11" t="s">
        <v>265</v>
      </c>
      <c r="B267" s="6">
        <f>ROUND(B$128*(1-'Loads'!$B233),3)</f>
        <v>0</v>
      </c>
      <c r="C267" s="6">
        <f>ROUND(C$128*(1-'Loads'!$B233),3)</f>
        <v>0</v>
      </c>
      <c r="D267" s="6">
        <f>ROUND(D$128*(1-'Loads'!$B233),3)</f>
        <v>0</v>
      </c>
      <c r="E267" s="35">
        <f>ROUND(E$128*(1-'Loads'!$C233),2)</f>
        <v>0</v>
      </c>
      <c r="F267" s="35">
        <f>ROUND(F$128*(1-'Loads'!$B233),2)</f>
        <v>0</v>
      </c>
      <c r="G267" s="6">
        <f>ROUND(G$128*(1-'Loads'!$B233),3)</f>
        <v>0</v>
      </c>
      <c r="H267" s="10"/>
    </row>
    <row r="268" spans="1:8">
      <c r="A268" s="22" t="s">
        <v>266</v>
      </c>
      <c r="H268" s="10"/>
    </row>
    <row r="269" spans="1:8">
      <c r="A269" s="11" t="s">
        <v>215</v>
      </c>
      <c r="B269" s="6">
        <f>ROUND(B$129*(1-'Loads'!$B235),3)</f>
        <v>0</v>
      </c>
      <c r="C269" s="6">
        <f>ROUND(C$129*(1-'Loads'!$B235),3)</f>
        <v>0</v>
      </c>
      <c r="D269" s="6">
        <f>ROUND(D$129*(1-'Loads'!$B235),3)</f>
        <v>0</v>
      </c>
      <c r="E269" s="35">
        <f>ROUND(E$129*(1-'Loads'!$C235),2)</f>
        <v>0</v>
      </c>
      <c r="F269" s="35">
        <f>ROUND(F$129*(1-'Loads'!$B235),2)</f>
        <v>0</v>
      </c>
      <c r="G269" s="6">
        <f>ROUND(G$129*(1-'Loads'!$B235),3)</f>
        <v>0</v>
      </c>
      <c r="H269" s="10"/>
    </row>
    <row r="270" spans="1:8">
      <c r="A270" s="11" t="s">
        <v>267</v>
      </c>
      <c r="B270" s="6">
        <f>ROUND(B$129*(1-'Loads'!$B236),3)</f>
        <v>0</v>
      </c>
      <c r="C270" s="6">
        <f>ROUND(C$129*(1-'Loads'!$B236),3)</f>
        <v>0</v>
      </c>
      <c r="D270" s="6">
        <f>ROUND(D$129*(1-'Loads'!$B236),3)</f>
        <v>0</v>
      </c>
      <c r="E270" s="35">
        <f>ROUND(E$129*(1-'Loads'!$C236),2)</f>
        <v>0</v>
      </c>
      <c r="F270" s="35">
        <f>ROUND(F$129*(1-'Loads'!$B236),2)</f>
        <v>0</v>
      </c>
      <c r="G270" s="6">
        <f>ROUND(G$129*(1-'Loads'!$B236),3)</f>
        <v>0</v>
      </c>
      <c r="H270" s="10"/>
    </row>
    <row r="271" spans="1:8">
      <c r="A271" s="11" t="s">
        <v>268</v>
      </c>
      <c r="B271" s="6">
        <f>ROUND(B$129*(1-'Loads'!$B237),3)</f>
        <v>0</v>
      </c>
      <c r="C271" s="6">
        <f>ROUND(C$129*(1-'Loads'!$B237),3)</f>
        <v>0</v>
      </c>
      <c r="D271" s="6">
        <f>ROUND(D$129*(1-'Loads'!$B237),3)</f>
        <v>0</v>
      </c>
      <c r="E271" s="35">
        <f>ROUND(E$129*(1-'Loads'!$C237),2)</f>
        <v>0</v>
      </c>
      <c r="F271" s="35">
        <f>ROUND(F$129*(1-'Loads'!$B237),2)</f>
        <v>0</v>
      </c>
      <c r="G271" s="6">
        <f>ROUND(G$129*(1-'Loads'!$B237),3)</f>
        <v>0</v>
      </c>
      <c r="H271" s="10"/>
    </row>
    <row r="272" spans="1:8">
      <c r="A272" s="22" t="s">
        <v>269</v>
      </c>
      <c r="H272" s="10"/>
    </row>
    <row r="273" spans="1:8">
      <c r="A273" s="11" t="s">
        <v>216</v>
      </c>
      <c r="B273" s="6">
        <f>ROUND(B$130*(1-'Loads'!$B239),3)</f>
        <v>0</v>
      </c>
      <c r="C273" s="6">
        <f>ROUND(C$130*(1-'Loads'!$B239),3)</f>
        <v>0</v>
      </c>
      <c r="D273" s="6">
        <f>ROUND(D$130*(1-'Loads'!$B239),3)</f>
        <v>0</v>
      </c>
      <c r="E273" s="35">
        <f>ROUND(E$130*(1-'Loads'!$C239),2)</f>
        <v>0</v>
      </c>
      <c r="F273" s="35">
        <f>ROUND(F$130*(1-'Loads'!$B239),2)</f>
        <v>0</v>
      </c>
      <c r="G273" s="6">
        <f>ROUND(G$130*(1-'Loads'!$B239),3)</f>
        <v>0</v>
      </c>
      <c r="H273" s="10"/>
    </row>
    <row r="274" spans="1:8">
      <c r="A274" s="11" t="s">
        <v>270</v>
      </c>
      <c r="B274" s="6">
        <f>ROUND(B$130*(1-'Loads'!$B240),3)</f>
        <v>0</v>
      </c>
      <c r="C274" s="6">
        <f>ROUND(C$130*(1-'Loads'!$B240),3)</f>
        <v>0</v>
      </c>
      <c r="D274" s="6">
        <f>ROUND(D$130*(1-'Loads'!$B240),3)</f>
        <v>0</v>
      </c>
      <c r="E274" s="35">
        <f>ROUND(E$130*(1-'Loads'!$C240),2)</f>
        <v>0</v>
      </c>
      <c r="F274" s="35">
        <f>ROUND(F$130*(1-'Loads'!$B240),2)</f>
        <v>0</v>
      </c>
      <c r="G274" s="6">
        <f>ROUND(G$130*(1-'Loads'!$B240),3)</f>
        <v>0</v>
      </c>
      <c r="H274" s="10"/>
    </row>
    <row r="275" spans="1:8">
      <c r="A275" s="11" t="s">
        <v>271</v>
      </c>
      <c r="B275" s="6">
        <f>ROUND(B$130*(1-'Loads'!$B241),3)</f>
        <v>0</v>
      </c>
      <c r="C275" s="6">
        <f>ROUND(C$130*(1-'Loads'!$B241),3)</f>
        <v>0</v>
      </c>
      <c r="D275" s="6">
        <f>ROUND(D$130*(1-'Loads'!$B241),3)</f>
        <v>0</v>
      </c>
      <c r="E275" s="35">
        <f>ROUND(E$130*(1-'Loads'!$C241),2)</f>
        <v>0</v>
      </c>
      <c r="F275" s="35">
        <f>ROUND(F$130*(1-'Loads'!$B241),2)</f>
        <v>0</v>
      </c>
      <c r="G275" s="6">
        <f>ROUND(G$130*(1-'Loads'!$B241),3)</f>
        <v>0</v>
      </c>
      <c r="H275" s="10"/>
    </row>
    <row r="276" spans="1:8">
      <c r="A276" s="22" t="s">
        <v>272</v>
      </c>
      <c r="H276" s="10"/>
    </row>
    <row r="277" spans="1:8">
      <c r="A277" s="11" t="s">
        <v>180</v>
      </c>
      <c r="B277" s="6">
        <f>ROUND(B$131*(1-'Loads'!$B243),3)</f>
        <v>0</v>
      </c>
      <c r="C277" s="6">
        <f>ROUND(C$131*(1-'Loads'!$B243),3)</f>
        <v>0</v>
      </c>
      <c r="D277" s="6">
        <f>ROUND(D$131*(1-'Loads'!$B243),3)</f>
        <v>0</v>
      </c>
      <c r="E277" s="35">
        <f>ROUND(E$131*(1-'Loads'!$C243),2)</f>
        <v>0</v>
      </c>
      <c r="F277" s="35">
        <f>ROUND(F$131*(1-'Loads'!$B243),2)</f>
        <v>0</v>
      </c>
      <c r="G277" s="6">
        <f>ROUND(G$131*(1-'Loads'!$B243),3)</f>
        <v>0</v>
      </c>
      <c r="H277" s="10"/>
    </row>
    <row r="278" spans="1:8">
      <c r="A278" s="11" t="s">
        <v>273</v>
      </c>
      <c r="B278" s="6">
        <f>ROUND(B$131*(1-'Loads'!$B244),3)</f>
        <v>0</v>
      </c>
      <c r="C278" s="6">
        <f>ROUND(C$131*(1-'Loads'!$B244),3)</f>
        <v>0</v>
      </c>
      <c r="D278" s="6">
        <f>ROUND(D$131*(1-'Loads'!$B244),3)</f>
        <v>0</v>
      </c>
      <c r="E278" s="35">
        <f>ROUND(E$131*(1-'Loads'!$C244),2)</f>
        <v>0</v>
      </c>
      <c r="F278" s="35">
        <f>ROUND(F$131*(1-'Loads'!$B244),2)</f>
        <v>0</v>
      </c>
      <c r="G278" s="6">
        <f>ROUND(G$131*(1-'Loads'!$B244),3)</f>
        <v>0</v>
      </c>
      <c r="H278" s="10"/>
    </row>
    <row r="279" spans="1:8">
      <c r="A279" s="11" t="s">
        <v>274</v>
      </c>
      <c r="B279" s="6">
        <f>ROUND(B$131*(1-'Loads'!$B245),3)</f>
        <v>0</v>
      </c>
      <c r="C279" s="6">
        <f>ROUND(C$131*(1-'Loads'!$B245),3)</f>
        <v>0</v>
      </c>
      <c r="D279" s="6">
        <f>ROUND(D$131*(1-'Loads'!$B245),3)</f>
        <v>0</v>
      </c>
      <c r="E279" s="35">
        <f>ROUND(E$131*(1-'Loads'!$C245),2)</f>
        <v>0</v>
      </c>
      <c r="F279" s="35">
        <f>ROUND(F$131*(1-'Loads'!$B245),2)</f>
        <v>0</v>
      </c>
      <c r="G279" s="6">
        <f>ROUND(G$131*(1-'Loads'!$B245),3)</f>
        <v>0</v>
      </c>
      <c r="H279" s="10"/>
    </row>
    <row r="280" spans="1:8">
      <c r="A280" s="22" t="s">
        <v>275</v>
      </c>
      <c r="H280" s="10"/>
    </row>
    <row r="281" spans="1:8">
      <c r="A281" s="11" t="s">
        <v>181</v>
      </c>
      <c r="B281" s="6">
        <f>ROUND(B$132*(1-'Loads'!$B247),3)</f>
        <v>0</v>
      </c>
      <c r="C281" s="6">
        <f>ROUND(C$132*(1-'Loads'!$B247),3)</f>
        <v>0</v>
      </c>
      <c r="D281" s="6">
        <f>ROUND(D$132*(1-'Loads'!$B247),3)</f>
        <v>0</v>
      </c>
      <c r="E281" s="35">
        <f>ROUND(E$132*(1-'Loads'!$C247),2)</f>
        <v>0</v>
      </c>
      <c r="F281" s="35">
        <f>ROUND(F$132*(1-'Loads'!$B247),2)</f>
        <v>0</v>
      </c>
      <c r="G281" s="6">
        <f>ROUND(G$132*(1-'Loads'!$B247),3)</f>
        <v>0</v>
      </c>
      <c r="H281" s="10"/>
    </row>
    <row r="282" spans="1:8">
      <c r="A282" s="11" t="s">
        <v>276</v>
      </c>
      <c r="B282" s="6">
        <f>ROUND(B$132*(1-'Loads'!$B248),3)</f>
        <v>0</v>
      </c>
      <c r="C282" s="6">
        <f>ROUND(C$132*(1-'Loads'!$B248),3)</f>
        <v>0</v>
      </c>
      <c r="D282" s="6">
        <f>ROUND(D$132*(1-'Loads'!$B248),3)</f>
        <v>0</v>
      </c>
      <c r="E282" s="35">
        <f>ROUND(E$132*(1-'Loads'!$C248),2)</f>
        <v>0</v>
      </c>
      <c r="F282" s="35">
        <f>ROUND(F$132*(1-'Loads'!$B248),2)</f>
        <v>0</v>
      </c>
      <c r="G282" s="6">
        <f>ROUND(G$132*(1-'Loads'!$B248),3)</f>
        <v>0</v>
      </c>
      <c r="H282" s="10"/>
    </row>
    <row r="283" spans="1:8">
      <c r="A283" s="22" t="s">
        <v>277</v>
      </c>
      <c r="H283" s="10"/>
    </row>
    <row r="284" spans="1:8">
      <c r="A284" s="11" t="s">
        <v>182</v>
      </c>
      <c r="B284" s="6">
        <f>ROUND(B$133*(1-'Loads'!$B250),3)</f>
        <v>0</v>
      </c>
      <c r="C284" s="6">
        <f>ROUND(C$133*(1-'Loads'!$B250),3)</f>
        <v>0</v>
      </c>
      <c r="D284" s="6">
        <f>ROUND(D$133*(1-'Loads'!$B250),3)</f>
        <v>0</v>
      </c>
      <c r="E284" s="35">
        <f>ROUND(E$133*(1-'Loads'!$C250),2)</f>
        <v>0</v>
      </c>
      <c r="F284" s="35">
        <f>ROUND(F$133*(1-'Loads'!$B250),2)</f>
        <v>0</v>
      </c>
      <c r="G284" s="6">
        <f>ROUND(G$133*(1-'Loads'!$B250),3)</f>
        <v>0</v>
      </c>
      <c r="H284" s="10"/>
    </row>
    <row r="285" spans="1:8">
      <c r="A285" s="11" t="s">
        <v>278</v>
      </c>
      <c r="B285" s="6">
        <f>ROUND(B$133*(1-'Loads'!$B251),3)</f>
        <v>0</v>
      </c>
      <c r="C285" s="6">
        <f>ROUND(C$133*(1-'Loads'!$B251),3)</f>
        <v>0</v>
      </c>
      <c r="D285" s="6">
        <f>ROUND(D$133*(1-'Loads'!$B251),3)</f>
        <v>0</v>
      </c>
      <c r="E285" s="35">
        <f>ROUND(E$133*(1-'Loads'!$C251),2)</f>
        <v>0</v>
      </c>
      <c r="F285" s="35">
        <f>ROUND(F$133*(1-'Loads'!$B251),2)</f>
        <v>0</v>
      </c>
      <c r="G285" s="6">
        <f>ROUND(G$133*(1-'Loads'!$B251),3)</f>
        <v>0</v>
      </c>
      <c r="H285" s="10"/>
    </row>
    <row r="286" spans="1:8">
      <c r="A286" s="11" t="s">
        <v>279</v>
      </c>
      <c r="B286" s="6">
        <f>ROUND(B$133*(1-'Loads'!$B252),3)</f>
        <v>0</v>
      </c>
      <c r="C286" s="6">
        <f>ROUND(C$133*(1-'Loads'!$B252),3)</f>
        <v>0</v>
      </c>
      <c r="D286" s="6">
        <f>ROUND(D$133*(1-'Loads'!$B252),3)</f>
        <v>0</v>
      </c>
      <c r="E286" s="35">
        <f>ROUND(E$133*(1-'Loads'!$C252),2)</f>
        <v>0</v>
      </c>
      <c r="F286" s="35">
        <f>ROUND(F$133*(1-'Loads'!$B252),2)</f>
        <v>0</v>
      </c>
      <c r="G286" s="6">
        <f>ROUND(G$133*(1-'Loads'!$B252),3)</f>
        <v>0</v>
      </c>
      <c r="H286" s="10"/>
    </row>
    <row r="287" spans="1:8">
      <c r="A287" s="22" t="s">
        <v>280</v>
      </c>
      <c r="H287" s="10"/>
    </row>
    <row r="288" spans="1:8">
      <c r="A288" s="11" t="s">
        <v>183</v>
      </c>
      <c r="B288" s="6">
        <f>ROUND(B$134*(1-'Loads'!$B254),3)</f>
        <v>0</v>
      </c>
      <c r="C288" s="6">
        <f>ROUND(C$134*(1-'Loads'!$B254),3)</f>
        <v>0</v>
      </c>
      <c r="D288" s="6">
        <f>ROUND(D$134*(1-'Loads'!$B254),3)</f>
        <v>0</v>
      </c>
      <c r="E288" s="35">
        <f>ROUND(E$134*(1-'Loads'!$C254),2)</f>
        <v>0</v>
      </c>
      <c r="F288" s="35">
        <f>ROUND(F$134*(1-'Loads'!$B254),2)</f>
        <v>0</v>
      </c>
      <c r="G288" s="6">
        <f>ROUND(G$134*(1-'Loads'!$B254),3)</f>
        <v>0</v>
      </c>
      <c r="H288" s="10"/>
    </row>
    <row r="289" spans="1:8">
      <c r="A289" s="11" t="s">
        <v>281</v>
      </c>
      <c r="B289" s="6">
        <f>ROUND(B$134*(1-'Loads'!$B255),3)</f>
        <v>0</v>
      </c>
      <c r="C289" s="6">
        <f>ROUND(C$134*(1-'Loads'!$B255),3)</f>
        <v>0</v>
      </c>
      <c r="D289" s="6">
        <f>ROUND(D$134*(1-'Loads'!$B255),3)</f>
        <v>0</v>
      </c>
      <c r="E289" s="35">
        <f>ROUND(E$134*(1-'Loads'!$C255),2)</f>
        <v>0</v>
      </c>
      <c r="F289" s="35">
        <f>ROUND(F$134*(1-'Loads'!$B255),2)</f>
        <v>0</v>
      </c>
      <c r="G289" s="6">
        <f>ROUND(G$134*(1-'Loads'!$B255),3)</f>
        <v>0</v>
      </c>
      <c r="H289" s="10"/>
    </row>
    <row r="290" spans="1:8">
      <c r="A290" s="11" t="s">
        <v>282</v>
      </c>
      <c r="B290" s="6">
        <f>ROUND(B$134*(1-'Loads'!$B256),3)</f>
        <v>0</v>
      </c>
      <c r="C290" s="6">
        <f>ROUND(C$134*(1-'Loads'!$B256),3)</f>
        <v>0</v>
      </c>
      <c r="D290" s="6">
        <f>ROUND(D$134*(1-'Loads'!$B256),3)</f>
        <v>0</v>
      </c>
      <c r="E290" s="35">
        <f>ROUND(E$134*(1-'Loads'!$C256),2)</f>
        <v>0</v>
      </c>
      <c r="F290" s="35">
        <f>ROUND(F$134*(1-'Loads'!$B256),2)</f>
        <v>0</v>
      </c>
      <c r="G290" s="6">
        <f>ROUND(G$134*(1-'Loads'!$B256),3)</f>
        <v>0</v>
      </c>
      <c r="H290" s="10"/>
    </row>
    <row r="291" spans="1:8">
      <c r="A291" s="22" t="s">
        <v>283</v>
      </c>
      <c r="H291" s="10"/>
    </row>
    <row r="292" spans="1:8">
      <c r="A292" s="11" t="s">
        <v>184</v>
      </c>
      <c r="B292" s="6">
        <f>ROUND(B$135*(1-'Loads'!$B258),3)</f>
        <v>0</v>
      </c>
      <c r="C292" s="6">
        <f>ROUND(C$135*(1-'Loads'!$B258),3)</f>
        <v>0</v>
      </c>
      <c r="D292" s="6">
        <f>ROUND(D$135*(1-'Loads'!$B258),3)</f>
        <v>0</v>
      </c>
      <c r="E292" s="35">
        <f>ROUND(E$135*(1-'Loads'!$C258),2)</f>
        <v>0</v>
      </c>
      <c r="F292" s="35">
        <f>ROUND(F$135*(1-'Loads'!$B258),2)</f>
        <v>0</v>
      </c>
      <c r="G292" s="6">
        <f>ROUND(G$135*(1-'Loads'!$B258),3)</f>
        <v>0</v>
      </c>
      <c r="H292" s="10"/>
    </row>
    <row r="293" spans="1:8">
      <c r="A293" s="11" t="s">
        <v>284</v>
      </c>
      <c r="B293" s="6">
        <f>ROUND(B$135*(1-'Loads'!$B259),3)</f>
        <v>0</v>
      </c>
      <c r="C293" s="6">
        <f>ROUND(C$135*(1-'Loads'!$B259),3)</f>
        <v>0</v>
      </c>
      <c r="D293" s="6">
        <f>ROUND(D$135*(1-'Loads'!$B259),3)</f>
        <v>0</v>
      </c>
      <c r="E293" s="35">
        <f>ROUND(E$135*(1-'Loads'!$C259),2)</f>
        <v>0</v>
      </c>
      <c r="F293" s="35">
        <f>ROUND(F$135*(1-'Loads'!$B259),2)</f>
        <v>0</v>
      </c>
      <c r="G293" s="6">
        <f>ROUND(G$135*(1-'Loads'!$B259),3)</f>
        <v>0</v>
      </c>
      <c r="H293" s="10"/>
    </row>
    <row r="294" spans="1:8">
      <c r="A294" s="22" t="s">
        <v>285</v>
      </c>
      <c r="H294" s="10"/>
    </row>
    <row r="295" spans="1:8">
      <c r="A295" s="11" t="s">
        <v>185</v>
      </c>
      <c r="B295" s="6">
        <f>ROUND(B$136*(1-'Loads'!$B261),3)</f>
        <v>0</v>
      </c>
      <c r="C295" s="6">
        <f>ROUND(C$136*(1-'Loads'!$B261),3)</f>
        <v>0</v>
      </c>
      <c r="D295" s="6">
        <f>ROUND(D$136*(1-'Loads'!$B261),3)</f>
        <v>0</v>
      </c>
      <c r="E295" s="35">
        <f>ROUND(E$136*(1-'Loads'!$C261),2)</f>
        <v>0</v>
      </c>
      <c r="F295" s="35">
        <f>ROUND(F$136*(1-'Loads'!$B261),2)</f>
        <v>0</v>
      </c>
      <c r="G295" s="6">
        <f>ROUND(G$136*(1-'Loads'!$B261),3)</f>
        <v>0</v>
      </c>
      <c r="H295" s="10"/>
    </row>
    <row r="296" spans="1:8">
      <c r="A296" s="11" t="s">
        <v>286</v>
      </c>
      <c r="B296" s="6">
        <f>ROUND(B$136*(1-'Loads'!$B262),3)</f>
        <v>0</v>
      </c>
      <c r="C296" s="6">
        <f>ROUND(C$136*(1-'Loads'!$B262),3)</f>
        <v>0</v>
      </c>
      <c r="D296" s="6">
        <f>ROUND(D$136*(1-'Loads'!$B262),3)</f>
        <v>0</v>
      </c>
      <c r="E296" s="35">
        <f>ROUND(E$136*(1-'Loads'!$C262),2)</f>
        <v>0</v>
      </c>
      <c r="F296" s="35">
        <f>ROUND(F$136*(1-'Loads'!$B262),2)</f>
        <v>0</v>
      </c>
      <c r="G296" s="6">
        <f>ROUND(G$136*(1-'Loads'!$B262),3)</f>
        <v>0</v>
      </c>
      <c r="H296" s="10"/>
    </row>
    <row r="297" spans="1:8">
      <c r="A297" s="22" t="s">
        <v>287</v>
      </c>
      <c r="H297" s="10"/>
    </row>
    <row r="298" spans="1:8">
      <c r="A298" s="11" t="s">
        <v>193</v>
      </c>
      <c r="B298" s="6">
        <f>ROUND(B$137*(1-'Loads'!$B264),3)</f>
        <v>0</v>
      </c>
      <c r="C298" s="6">
        <f>ROUND(C$137*(1-'Loads'!$B264),3)</f>
        <v>0</v>
      </c>
      <c r="D298" s="6">
        <f>ROUND(D$137*(1-'Loads'!$B264),3)</f>
        <v>0</v>
      </c>
      <c r="E298" s="35">
        <f>ROUND(E$137*(1-'Loads'!$C264),2)</f>
        <v>0</v>
      </c>
      <c r="F298" s="35">
        <f>ROUND(F$137*(1-'Loads'!$B264),2)</f>
        <v>0</v>
      </c>
      <c r="G298" s="6">
        <f>ROUND(G$137*(1-'Loads'!$B264),3)</f>
        <v>0</v>
      </c>
      <c r="H298" s="10"/>
    </row>
    <row r="299" spans="1:8">
      <c r="A299" s="11" t="s">
        <v>288</v>
      </c>
      <c r="B299" s="6">
        <f>ROUND(B$137*(1-'Loads'!$B265),3)</f>
        <v>0</v>
      </c>
      <c r="C299" s="6">
        <f>ROUND(C$137*(1-'Loads'!$B265),3)</f>
        <v>0</v>
      </c>
      <c r="D299" s="6">
        <f>ROUND(D$137*(1-'Loads'!$B265),3)</f>
        <v>0</v>
      </c>
      <c r="E299" s="35">
        <f>ROUND(E$137*(1-'Loads'!$C265),2)</f>
        <v>0</v>
      </c>
      <c r="F299" s="35">
        <f>ROUND(F$137*(1-'Loads'!$B265),2)</f>
        <v>0</v>
      </c>
      <c r="G299" s="6">
        <f>ROUND(G$137*(1-'Loads'!$B265),3)</f>
        <v>0</v>
      </c>
      <c r="H299" s="10"/>
    </row>
    <row r="300" spans="1:8">
      <c r="A300" s="22" t="s">
        <v>289</v>
      </c>
      <c r="H300" s="10"/>
    </row>
    <row r="301" spans="1:8">
      <c r="A301" s="11" t="s">
        <v>194</v>
      </c>
      <c r="B301" s="6">
        <f>ROUND(B$138*(1-'Loads'!$B267),3)</f>
        <v>0</v>
      </c>
      <c r="C301" s="6">
        <f>ROUND(C$138*(1-'Loads'!$B267),3)</f>
        <v>0</v>
      </c>
      <c r="D301" s="6">
        <f>ROUND(D$138*(1-'Loads'!$B267),3)</f>
        <v>0</v>
      </c>
      <c r="E301" s="35">
        <f>ROUND(E$138*(1-'Loads'!$C267),2)</f>
        <v>0</v>
      </c>
      <c r="F301" s="35">
        <f>ROUND(F$138*(1-'Loads'!$B267),2)</f>
        <v>0</v>
      </c>
      <c r="G301" s="6">
        <f>ROUND(G$138*(1-'Loads'!$B267),3)</f>
        <v>0</v>
      </c>
      <c r="H301" s="10"/>
    </row>
    <row r="302" spans="1:8">
      <c r="A302" s="11" t="s">
        <v>290</v>
      </c>
      <c r="B302" s="6">
        <f>ROUND(B$138*(1-'Loads'!$B268),3)</f>
        <v>0</v>
      </c>
      <c r="C302" s="6">
        <f>ROUND(C$138*(1-'Loads'!$B268),3)</f>
        <v>0</v>
      </c>
      <c r="D302" s="6">
        <f>ROUND(D$138*(1-'Loads'!$B268),3)</f>
        <v>0</v>
      </c>
      <c r="E302" s="35">
        <f>ROUND(E$138*(1-'Loads'!$C268),2)</f>
        <v>0</v>
      </c>
      <c r="F302" s="35">
        <f>ROUND(F$138*(1-'Loads'!$B268),2)</f>
        <v>0</v>
      </c>
      <c r="G302" s="6">
        <f>ROUND(G$138*(1-'Loads'!$B268),3)</f>
        <v>0</v>
      </c>
      <c r="H302" s="10"/>
    </row>
  </sheetData>
  <sheetProtection sheet="1" objects="1" scenarios="1"/>
  <hyperlinks>
    <hyperlink ref="A5" location="'Aggreg'!B226" display="x1 = 3307. Unit rate 1 p/kWh (total) (in Summary of charges before revenue matching)"/>
    <hyperlink ref="A6" location="'Adder'!B741" display="x2 = 3528. Adder on Unit rate 1 p/kWh (in Adder)"/>
    <hyperlink ref="A7" location="'Aggreg'!C226" display="x3 = 3307. Unit rate 2 p/kWh (total) (in Summary of charges before revenue matching)"/>
    <hyperlink ref="A8" location="'Adder'!C741" display="x4 = 3528. Adder on Unit rate 2 p/kWh (in Adder)"/>
    <hyperlink ref="A9" location="'Aggreg'!D226" display="x5 = 3307. Unit rate 3 p/kWh (total) (in Summary of charges before revenue matching)"/>
    <hyperlink ref="A10" location="'Adder'!D741" display="x6 = 3528. Adder on Unit rate 3 p/kWh (in Adder)"/>
    <hyperlink ref="A11" location="'Aggreg'!E226" display="x7 = 3307. Fixed charge p/MPAN/day (total) (in Summary of charges before revenue matching)"/>
    <hyperlink ref="A12" location="'Adder'!E741" display="x8 = 3528. Adder on Fixed charge p/MPAN/day (in Adder)"/>
    <hyperlink ref="A13" location="'Aggreg'!F226" display="x9 = 3307. Capacity charge p/kVA/day (total) (in Summary of charges before revenue matching)"/>
    <hyperlink ref="A14" location="'Adder'!F741" display="x10 = 3528. Adder on Capacity charge p/kVA/day (in Adder)"/>
    <hyperlink ref="A15" location="'Aggreg'!G226" display="x11 = 3307. Reactive power charge p/kVArh (in Summary of charges before revenue matching)"/>
    <hyperlink ref="A16" location="'Adder'!G741" display="x12 = 3528. Adder on Reactive power charge p/kVArh (in Adder)"/>
    <hyperlink ref="A54" location="'Adjust'!B20" display="x1 = 3601. Unit rate 1 p/kWh before rounding (in Tariffs before rounding)"/>
    <hyperlink ref="A55" location="'Adjust'!B49" display="x2 = 3602. Unit rate 1 p/kWh decimal places (in Decimal places)"/>
    <hyperlink ref="A56" location="'Adjust'!C20" display="x3 = 3601. Unit rate 2 p/kWh before rounding (in Tariffs before rounding)"/>
    <hyperlink ref="A57" location="'Adjust'!C49" display="x4 = 3602. Unit rate 2 p/kWh decimal places (in Decimal places)"/>
    <hyperlink ref="A58" location="'Adjust'!D20" display="x5 = 3601. Unit rate 3 p/kWh before rounding (in Tariffs before rounding)"/>
    <hyperlink ref="A59" location="'Adjust'!D49" display="x6 = 3602. Unit rate 3 p/kWh decimal places (in Decimal places)"/>
    <hyperlink ref="A60" location="'Adjust'!E20" display="x7 = 3601. Fixed charge p/MPAN/day before rounding (in Tariffs before rounding)"/>
    <hyperlink ref="A61" location="'Adjust'!E49" display="x8 = 3602. Fixed charge p/MPAN/day decimal places (in Decimal places)"/>
    <hyperlink ref="A62" location="'Adjust'!F20" display="x9 = 3601. Capacity charge p/kVA/day before rounding (in Tariffs before rounding)"/>
    <hyperlink ref="A63" location="'Adjust'!F49" display="x10 = 3602. Capacity charge p/kVA/day decimal places (in Decimal places)"/>
    <hyperlink ref="A64" location="'Adjust'!G20" display="x11 = 3601. Reactive power charge p/kVArh before rounding (in Tariffs before rounding)"/>
    <hyperlink ref="A65" location="'Adjust'!G49" display="x12 = 3602. Reactive power charge p/kVArh decimal places (in Decimal places)"/>
    <hyperlink ref="A98" location="'Adjust'!B20" display="x1 = 3601. Unit rate 1 p/kWh before rounding (in Tariffs before rounding)"/>
    <hyperlink ref="A99" location="'Adjust'!B69" display="x2 = 3603. Unit rate 1 p/kWh rounding (in Tariff rounding)"/>
    <hyperlink ref="A100" location="'Adjust'!C20" display="x3 = 3601. Unit rate 2 p/kWh before rounding (in Tariffs before rounding)"/>
    <hyperlink ref="A101" location="'Adjust'!C69" display="x4 = 3603. Unit rate 2 p/kWh rounding (in Tariff rounding)"/>
    <hyperlink ref="A102" location="'Adjust'!D20" display="x5 = 3601. Unit rate 3 p/kWh before rounding (in Tariffs before rounding)"/>
    <hyperlink ref="A103" location="'Adjust'!D69" display="x6 = 3603. Unit rate 3 p/kWh rounding (in Tariff rounding)"/>
    <hyperlink ref="A104" location="'Adjust'!E20" display="x7 = 3601. Fixed charge p/MPAN/day before rounding (in Tariffs before rounding)"/>
    <hyperlink ref="A105" location="'Adjust'!E69" display="x8 = 3603. Fixed charge p/MPAN/day rounding (in Tariff rounding)"/>
    <hyperlink ref="A106" location="'Adjust'!F20" display="x9 = 3601. Capacity charge p/kVA/day before rounding (in Tariffs before rounding)"/>
    <hyperlink ref="A107" location="'Adjust'!F69" display="x10 = 3603. Capacity charge p/kVA/day rounding (in Tariff rounding)"/>
    <hyperlink ref="A108" location="'Adjust'!G20" display="x11 = 3601. Reactive power charge p/kVArh before rounding (in Tariffs before rounding)"/>
    <hyperlink ref="A109" location="'Adjust'!G69" display="x12 = 3603. Reactive power charge p/kVArh rounding (in Tariff rounding)"/>
    <hyperlink ref="A142" location="'Input'!F57" display="x1 = 1010. Days in the charging year (in Financial and general assumptions)"/>
    <hyperlink ref="A143" location="'Adjust'!E69" display="x2 = 3603. Fixed charge p/MPAN/day rounding (in Tariff rounding)"/>
    <hyperlink ref="A144" location="'Loads'!E281" display="x3 = 2305. MPANs (in Equivalent volume for each end user)"/>
    <hyperlink ref="A145" location="'Adjust'!F69" display="x4 = 3603. Capacity charge p/kVA/day rounding (in Tariff rounding)"/>
    <hyperlink ref="A146" location="'Loads'!F281" display="x5 = 2305. Import capacity (kVA) (in Equivalent volume for each end user)"/>
    <hyperlink ref="A147" location="'Adjust'!B69" display="x6 = 3603. Unit rate 1 p/kWh rounding (in Tariff rounding)"/>
    <hyperlink ref="A148" location="'Loads'!B281" display="x7 = 2305. Rate 1 units (MWh) (in Equivalent volume for each end user)"/>
    <hyperlink ref="A149" location="'Adjust'!C69" display="x8 = 3603. Unit rate 2 p/kWh rounding (in Tariff rounding)"/>
    <hyperlink ref="A150" location="'Loads'!C281" display="x9 = 2305. Rate 2 units (MWh) (in Equivalent volume for each end user)"/>
    <hyperlink ref="A151" location="'Adjust'!D69" display="x10 = 3603. Unit rate 3 p/kWh rounding (in Tariff rounding)"/>
    <hyperlink ref="A152" location="'Loads'!D281" display="x11 = 2305. Rate 3 units (MWh) (in Equivalent volume for each end user)"/>
    <hyperlink ref="A153" location="'Adjust'!G69" display="x12 = 3603. Reactive power charge p/kVArh rounding (in Tariff rounding)"/>
    <hyperlink ref="A154" location="'Loads'!G281" display="x13 = 2305. Reactive power units (MVArh) (in Equivalent volume for each end user)"/>
    <hyperlink ref="A186" location="'Revenue'!B63" display="x1 = 3403. Total net revenues before matching (£) (in Revenue surplus or shortfall)"/>
    <hyperlink ref="A187" location="'Adder'!H741" display="x2 = 3528. Net revenues by tariff from adder (in Adder)"/>
    <hyperlink ref="A188" location="'Adjust'!B157" display="x3 = 3605. Net revenues by tariff from rounding"/>
    <hyperlink ref="A189" location="'Adjust'!B197" display="x4 = Total net revenues before matching (£) (in Revenue forecast summary)"/>
    <hyperlink ref="A190" location="'Adjust'!C197" display="x5 = Total net revenues from adder (£/year) (in Revenue forecast summary)"/>
    <hyperlink ref="A191" location="'Adjust'!D197" display="x6 = Total net revenues from rounding (£) (in Revenue forecast summary)"/>
    <hyperlink ref="A192" location="'Adjust'!E197" display="x7 = Total net revenues (£) (in Revenue forecast summary)"/>
    <hyperlink ref="A193" location="'Revenue'!B52" display="x8 = 3402. Target CDCM revenue (£/year)"/>
    <hyperlink ref="A202" location="'Adjust'!B113" display="x1 = 3604. Unit rate 1 p/kWh (in All the way tariffs)"/>
    <hyperlink ref="A203" location="'Loads'!B179" display="x2 = 2304. Discount for each tariff (except for fixed charges) (in LDNO discounts and volumes adjusted for discount)"/>
    <hyperlink ref="A204" location="'Adjust'!C113" display="x3 = 3604. Unit rate 2 p/kWh (in All the way tariffs)"/>
    <hyperlink ref="A205" location="'Adjust'!D113" display="x4 = 3604. Unit rate 3 p/kWh (in All the way tariffs)"/>
    <hyperlink ref="A206" location="'Adjust'!E113" display="x5 = 3604. Fixed charge p/MPAN/day (in All the way tariffs)"/>
    <hyperlink ref="A207" location="'Loads'!C179" display="x6 = 2304. Discount for each tariff for fixed charges only (in LDNO discounts and volumes adjusted for discount)"/>
    <hyperlink ref="A208" location="'Adjust'!F113" display="x7 = 3604. Capacity charge p/kVA/day (in All the way tariffs)"/>
    <hyperlink ref="A209" location="'Adjust'!G113" display="x8 = 3604. Reactive power charge p/kVArh (in All the way tariffs)"/>
  </hyperlink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64.7109375" customWidth="1"/>
    <col min="2" max="251" width="24.7109375" customWidth="1"/>
  </cols>
  <sheetData>
    <row r="1" spans="1:7">
      <c r="A1" s="1">
        <f>"Input data"&amp;" for "&amp;'Input'!B7&amp;" in "&amp;'Input'!C7&amp;" ("&amp;'Input'!D7&amp;")"</f>
        <v>0</v>
      </c>
    </row>
    <row r="2" spans="1:7">
      <c r="A2" s="2" t="s">
        <v>345</v>
      </c>
    </row>
    <row r="4" spans="1:7">
      <c r="A4" s="1" t="s">
        <v>0</v>
      </c>
    </row>
    <row r="6" spans="1:7">
      <c r="B6" s="3" t="s">
        <v>1</v>
      </c>
      <c r="C6" s="3" t="s">
        <v>2</v>
      </c>
      <c r="D6" s="3" t="s">
        <v>3</v>
      </c>
    </row>
    <row r="7" spans="1:7">
      <c r="A7" s="11" t="s">
        <v>4</v>
      </c>
      <c r="B7" s="13" t="s">
        <v>5</v>
      </c>
      <c r="C7" s="13" t="s">
        <v>5</v>
      </c>
      <c r="D7" s="13" t="s">
        <v>5</v>
      </c>
      <c r="E7" s="10"/>
    </row>
    <row r="9" spans="1:7">
      <c r="A9" s="1" t="s">
        <v>6</v>
      </c>
    </row>
    <row r="11" spans="1:7"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</row>
    <row r="12" spans="1:7">
      <c r="A12" s="11" t="s">
        <v>12</v>
      </c>
      <c r="B12" s="14" t="s">
        <v>51</v>
      </c>
      <c r="C12" s="15" t="s">
        <v>85</v>
      </c>
      <c r="D12" s="15" t="s">
        <v>113</v>
      </c>
      <c r="E12" s="16" t="s">
        <v>5</v>
      </c>
      <c r="F12" s="17">
        <f>E12</f>
        <v>0</v>
      </c>
      <c r="G12" s="10"/>
    </row>
    <row r="13" spans="1:7">
      <c r="A13" s="11" t="s">
        <v>13</v>
      </c>
      <c r="B13" s="14" t="s">
        <v>52</v>
      </c>
      <c r="C13" s="15" t="s">
        <v>86</v>
      </c>
      <c r="D13" s="15" t="s">
        <v>113</v>
      </c>
      <c r="E13" s="4" t="s">
        <v>5</v>
      </c>
      <c r="F13" s="17">
        <f>E$12*(E$13-1)</f>
        <v>0</v>
      </c>
      <c r="G13" s="10"/>
    </row>
    <row r="14" spans="1:7">
      <c r="A14" s="11" t="s">
        <v>14</v>
      </c>
      <c r="B14" s="14" t="s">
        <v>53</v>
      </c>
      <c r="C14" s="15" t="s">
        <v>87</v>
      </c>
      <c r="D14" s="15" t="s">
        <v>113</v>
      </c>
      <c r="E14" s="16" t="s">
        <v>5</v>
      </c>
      <c r="F14" s="17">
        <f>0-E14</f>
        <v>0</v>
      </c>
      <c r="G14" s="10"/>
    </row>
    <row r="15" spans="1:7">
      <c r="A15" s="11" t="s">
        <v>15</v>
      </c>
      <c r="B15" s="18" t="s">
        <v>54</v>
      </c>
      <c r="C15" s="19" t="s">
        <v>88</v>
      </c>
      <c r="D15" s="19" t="s">
        <v>113</v>
      </c>
      <c r="E15" s="8"/>
      <c r="F15" s="20">
        <f>F12+F13+F14</f>
        <v>0</v>
      </c>
      <c r="G15" s="10"/>
    </row>
    <row r="16" spans="1:7">
      <c r="A16" s="11" t="s">
        <v>16</v>
      </c>
      <c r="B16" s="14" t="s">
        <v>55</v>
      </c>
      <c r="C16" s="15" t="s">
        <v>89</v>
      </c>
      <c r="D16" s="15" t="s">
        <v>114</v>
      </c>
      <c r="E16" s="16" t="s">
        <v>5</v>
      </c>
      <c r="F16" s="17">
        <f>E16</f>
        <v>0</v>
      </c>
      <c r="G16" s="10"/>
    </row>
    <row r="17" spans="1:7">
      <c r="A17" s="11" t="s">
        <v>17</v>
      </c>
      <c r="B17" s="14" t="s">
        <v>56</v>
      </c>
      <c r="C17" s="15" t="s">
        <v>90</v>
      </c>
      <c r="D17" s="15" t="s">
        <v>114</v>
      </c>
      <c r="E17" s="16" t="s">
        <v>5</v>
      </c>
      <c r="F17" s="17">
        <f>E17</f>
        <v>0</v>
      </c>
      <c r="G17" s="10"/>
    </row>
    <row r="18" spans="1:7">
      <c r="A18" s="11" t="s">
        <v>18</v>
      </c>
      <c r="B18" s="14" t="s">
        <v>57</v>
      </c>
      <c r="C18" s="15" t="s">
        <v>91</v>
      </c>
      <c r="D18" s="15" t="s">
        <v>114</v>
      </c>
      <c r="E18" s="16" t="s">
        <v>5</v>
      </c>
      <c r="F18" s="17">
        <f>E18</f>
        <v>0</v>
      </c>
      <c r="G18" s="10"/>
    </row>
    <row r="19" spans="1:7">
      <c r="A19" s="11" t="s">
        <v>19</v>
      </c>
      <c r="B19" s="14" t="s">
        <v>58</v>
      </c>
      <c r="C19" s="15" t="s">
        <v>92</v>
      </c>
      <c r="D19" s="15" t="s">
        <v>114</v>
      </c>
      <c r="E19" s="16" t="s">
        <v>5</v>
      </c>
      <c r="F19" s="17">
        <f>E19</f>
        <v>0</v>
      </c>
      <c r="G19" s="10"/>
    </row>
    <row r="20" spans="1:7">
      <c r="A20" s="11" t="s">
        <v>20</v>
      </c>
      <c r="B20" s="14" t="s">
        <v>59</v>
      </c>
      <c r="C20" s="15" t="s">
        <v>93</v>
      </c>
      <c r="D20" s="15" t="s">
        <v>114</v>
      </c>
      <c r="E20" s="16" t="s">
        <v>5</v>
      </c>
      <c r="F20" s="17">
        <f>E20</f>
        <v>0</v>
      </c>
      <c r="G20" s="10"/>
    </row>
    <row r="21" spans="1:7">
      <c r="A21" s="11" t="s">
        <v>21</v>
      </c>
      <c r="B21" s="18" t="s">
        <v>60</v>
      </c>
      <c r="C21" s="19" t="s">
        <v>94</v>
      </c>
      <c r="D21" s="19" t="s">
        <v>113</v>
      </c>
      <c r="E21" s="8"/>
      <c r="F21" s="20">
        <f>F16+F17+F18+F19+F20</f>
        <v>0</v>
      </c>
      <c r="G21" s="10"/>
    </row>
    <row r="22" spans="1:7">
      <c r="A22" s="11" t="s">
        <v>22</v>
      </c>
      <c r="B22" s="14" t="s">
        <v>61</v>
      </c>
      <c r="C22" s="15" t="s">
        <v>95</v>
      </c>
      <c r="D22" s="15" t="s">
        <v>115</v>
      </c>
      <c r="E22" s="16" t="s">
        <v>5</v>
      </c>
      <c r="F22" s="17">
        <f>E22</f>
        <v>0</v>
      </c>
      <c r="G22" s="10"/>
    </row>
    <row r="23" spans="1:7">
      <c r="A23" s="11" t="s">
        <v>23</v>
      </c>
      <c r="B23" s="14" t="s">
        <v>61</v>
      </c>
      <c r="C23" s="15" t="s">
        <v>96</v>
      </c>
      <c r="D23" s="15" t="s">
        <v>115</v>
      </c>
      <c r="E23" s="16" t="s">
        <v>5</v>
      </c>
      <c r="F23" s="17">
        <f>E23</f>
        <v>0</v>
      </c>
      <c r="G23" s="10"/>
    </row>
    <row r="24" spans="1:7">
      <c r="A24" s="11" t="s">
        <v>24</v>
      </c>
      <c r="B24" s="14" t="s">
        <v>61</v>
      </c>
      <c r="C24" s="15" t="s">
        <v>97</v>
      </c>
      <c r="D24" s="15" t="s">
        <v>115</v>
      </c>
      <c r="E24" s="16" t="s">
        <v>5</v>
      </c>
      <c r="F24" s="17">
        <f>E24</f>
        <v>0</v>
      </c>
      <c r="G24" s="10"/>
    </row>
    <row r="25" spans="1:7">
      <c r="A25" s="11" t="s">
        <v>25</v>
      </c>
      <c r="B25" s="14" t="s">
        <v>61</v>
      </c>
      <c r="C25" s="15" t="s">
        <v>98</v>
      </c>
      <c r="D25" s="15" t="s">
        <v>115</v>
      </c>
      <c r="E25" s="16" t="s">
        <v>5</v>
      </c>
      <c r="F25" s="17">
        <f>E25</f>
        <v>0</v>
      </c>
      <c r="G25" s="10"/>
    </row>
    <row r="26" spans="1:7">
      <c r="A26" s="11" t="s">
        <v>26</v>
      </c>
      <c r="B26" s="14" t="s">
        <v>62</v>
      </c>
      <c r="C26" s="15" t="s">
        <v>99</v>
      </c>
      <c r="D26" s="15" t="s">
        <v>116</v>
      </c>
      <c r="E26" s="16" t="s">
        <v>5</v>
      </c>
      <c r="F26" s="17">
        <f>E26</f>
        <v>0</v>
      </c>
      <c r="G26" s="10"/>
    </row>
    <row r="27" spans="1:7">
      <c r="A27" s="11" t="s">
        <v>27</v>
      </c>
      <c r="B27" s="14" t="s">
        <v>63</v>
      </c>
      <c r="C27" s="15" t="s">
        <v>100</v>
      </c>
      <c r="D27" s="15" t="s">
        <v>117</v>
      </c>
      <c r="E27" s="16" t="s">
        <v>5</v>
      </c>
      <c r="F27" s="17">
        <f>E27</f>
        <v>0</v>
      </c>
      <c r="G27" s="10"/>
    </row>
    <row r="28" spans="1:7">
      <c r="A28" s="11" t="s">
        <v>28</v>
      </c>
      <c r="B28" s="14" t="s">
        <v>64</v>
      </c>
      <c r="C28" s="15" t="s">
        <v>101</v>
      </c>
      <c r="D28" s="15" t="s">
        <v>118</v>
      </c>
      <c r="E28" s="16" t="s">
        <v>5</v>
      </c>
      <c r="F28" s="17">
        <f>E28</f>
        <v>0</v>
      </c>
      <c r="G28" s="10"/>
    </row>
    <row r="29" spans="1:7">
      <c r="A29" s="11" t="s">
        <v>29</v>
      </c>
      <c r="B29" s="14" t="s">
        <v>65</v>
      </c>
      <c r="C29" s="15" t="s">
        <v>102</v>
      </c>
      <c r="D29" s="15" t="s">
        <v>119</v>
      </c>
      <c r="E29" s="16" t="s">
        <v>5</v>
      </c>
      <c r="F29" s="17">
        <f>E29</f>
        <v>0</v>
      </c>
      <c r="G29" s="10"/>
    </row>
    <row r="30" spans="1:7">
      <c r="A30" s="11" t="s">
        <v>30</v>
      </c>
      <c r="B30" s="14" t="s">
        <v>66</v>
      </c>
      <c r="C30" s="15" t="s">
        <v>103</v>
      </c>
      <c r="D30" s="15" t="s">
        <v>120</v>
      </c>
      <c r="E30" s="16" t="s">
        <v>5</v>
      </c>
      <c r="F30" s="17">
        <f>E30</f>
        <v>0</v>
      </c>
      <c r="G30" s="10"/>
    </row>
    <row r="31" spans="1:7">
      <c r="A31" s="11" t="s">
        <v>31</v>
      </c>
      <c r="B31" s="14" t="s">
        <v>67</v>
      </c>
      <c r="C31" s="15" t="s">
        <v>104</v>
      </c>
      <c r="D31" s="15" t="s">
        <v>121</v>
      </c>
      <c r="E31" s="16" t="s">
        <v>5</v>
      </c>
      <c r="F31" s="17">
        <f>E31</f>
        <v>0</v>
      </c>
      <c r="G31" s="10"/>
    </row>
    <row r="32" spans="1:7">
      <c r="A32" s="11" t="s">
        <v>32</v>
      </c>
      <c r="B32" s="14" t="s">
        <v>67</v>
      </c>
      <c r="C32" s="15" t="s">
        <v>105</v>
      </c>
      <c r="D32" s="15" t="s">
        <v>121</v>
      </c>
      <c r="E32" s="16" t="s">
        <v>5</v>
      </c>
      <c r="F32" s="17">
        <f>E32</f>
        <v>0</v>
      </c>
      <c r="G32" s="10"/>
    </row>
    <row r="33" spans="1:7">
      <c r="A33" s="11" t="s">
        <v>33</v>
      </c>
      <c r="B33" s="14" t="s">
        <v>67</v>
      </c>
      <c r="C33" s="15" t="s">
        <v>106</v>
      </c>
      <c r="D33" s="15" t="s">
        <v>121</v>
      </c>
      <c r="E33" s="16" t="s">
        <v>5</v>
      </c>
      <c r="F33" s="17">
        <f>E33</f>
        <v>0</v>
      </c>
      <c r="G33" s="10"/>
    </row>
    <row r="34" spans="1:7">
      <c r="A34" s="11" t="s">
        <v>34</v>
      </c>
      <c r="B34" s="18" t="s">
        <v>68</v>
      </c>
      <c r="C34" s="19"/>
      <c r="D34" s="19"/>
      <c r="E34" s="8"/>
      <c r="F34" s="20">
        <f>F22+F23+F24+F25+F26+F27+F28+F29+F30+F31+F32+F33</f>
        <v>0</v>
      </c>
      <c r="G34" s="10"/>
    </row>
    <row r="35" spans="1:7">
      <c r="A35" s="11" t="s">
        <v>35</v>
      </c>
      <c r="B35" s="14" t="s">
        <v>69</v>
      </c>
      <c r="C35" s="15" t="s">
        <v>107</v>
      </c>
      <c r="D35" s="15" t="s">
        <v>113</v>
      </c>
      <c r="E35" s="16" t="s">
        <v>5</v>
      </c>
      <c r="F35" s="17">
        <f>E35</f>
        <v>0</v>
      </c>
      <c r="G35" s="10"/>
    </row>
    <row r="36" spans="1:7">
      <c r="A36" s="11" t="s">
        <v>36</v>
      </c>
      <c r="B36" s="14" t="s">
        <v>70</v>
      </c>
      <c r="C36" s="15" t="s">
        <v>108</v>
      </c>
      <c r="D36" s="15" t="s">
        <v>113</v>
      </c>
      <c r="E36" s="16" t="s">
        <v>5</v>
      </c>
      <c r="F36" s="17">
        <f>E36</f>
        <v>0</v>
      </c>
      <c r="G36" s="10"/>
    </row>
    <row r="37" spans="1:7">
      <c r="A37" s="11" t="s">
        <v>37</v>
      </c>
      <c r="B37" s="18" t="s">
        <v>71</v>
      </c>
      <c r="C37" s="19" t="s">
        <v>109</v>
      </c>
      <c r="D37" s="19"/>
      <c r="E37" s="8"/>
      <c r="F37" s="20">
        <f>F12+F13+F14+F16+F17+F18+F19+F20+F22+F23+F24+F25+F26+F27+F28+F29+F30+F31+F32+F33+F35+F36</f>
        <v>0</v>
      </c>
      <c r="G37" s="10"/>
    </row>
    <row r="38" spans="1:7">
      <c r="A38" s="11" t="s">
        <v>38</v>
      </c>
      <c r="B38" s="14" t="s">
        <v>72</v>
      </c>
      <c r="C38" s="15" t="s">
        <v>110</v>
      </c>
      <c r="D38" s="15" t="s">
        <v>122</v>
      </c>
      <c r="E38" s="16" t="s">
        <v>5</v>
      </c>
      <c r="F38" s="17">
        <f>E38</f>
        <v>0</v>
      </c>
      <c r="G38" s="10"/>
    </row>
    <row r="39" spans="1:7">
      <c r="A39" s="11" t="s">
        <v>39</v>
      </c>
      <c r="B39" s="14" t="s">
        <v>73</v>
      </c>
      <c r="C39" s="15" t="s">
        <v>111</v>
      </c>
      <c r="D39" s="15" t="s">
        <v>122</v>
      </c>
      <c r="E39" s="16" t="s">
        <v>5</v>
      </c>
      <c r="F39" s="17">
        <f>E39</f>
        <v>0</v>
      </c>
      <c r="G39" s="10"/>
    </row>
    <row r="40" spans="1:7">
      <c r="A40" s="11" t="s">
        <v>40</v>
      </c>
      <c r="B40" s="14" t="s">
        <v>74</v>
      </c>
      <c r="C40" s="15" t="s">
        <v>112</v>
      </c>
      <c r="D40" s="15" t="s">
        <v>122</v>
      </c>
      <c r="E40" s="16" t="s">
        <v>5</v>
      </c>
      <c r="F40" s="17">
        <f>E40</f>
        <v>0</v>
      </c>
      <c r="G40" s="10"/>
    </row>
    <row r="41" spans="1:7">
      <c r="A41" s="11" t="s">
        <v>41</v>
      </c>
      <c r="B41" s="14" t="s">
        <v>75</v>
      </c>
      <c r="C41" s="15"/>
      <c r="D41" s="15"/>
      <c r="E41" s="16" t="s">
        <v>5</v>
      </c>
      <c r="F41" s="17">
        <f>E41</f>
        <v>0</v>
      </c>
      <c r="G41" s="10"/>
    </row>
    <row r="42" spans="1:7">
      <c r="A42" s="11" t="s">
        <v>42</v>
      </c>
      <c r="B42" s="14" t="s">
        <v>76</v>
      </c>
      <c r="C42" s="15"/>
      <c r="D42" s="15"/>
      <c r="E42" s="16" t="s">
        <v>5</v>
      </c>
      <c r="F42" s="17">
        <f>E42</f>
        <v>0</v>
      </c>
      <c r="G42" s="10"/>
    </row>
    <row r="43" spans="1:7">
      <c r="A43" s="11" t="s">
        <v>43</v>
      </c>
      <c r="B43" s="18" t="s">
        <v>77</v>
      </c>
      <c r="C43" s="19"/>
      <c r="D43" s="19"/>
      <c r="E43" s="8"/>
      <c r="F43" s="20">
        <f>F38+F39+F40+F41+F42</f>
        <v>0</v>
      </c>
      <c r="G43" s="10"/>
    </row>
    <row r="44" spans="1:7">
      <c r="A44" s="11" t="s">
        <v>44</v>
      </c>
      <c r="B44" s="18" t="s">
        <v>78</v>
      </c>
      <c r="C44" s="19"/>
      <c r="D44" s="19"/>
      <c r="E44" s="8"/>
      <c r="F44" s="20">
        <f>F12+F13+F14+F16+F17+F18+F19+F20+F22+F23+F24+F25+F26+F27+F28+F29+F30+F31+F32+F33+F35+F36+F38+F39+F40+F41+F42</f>
        <v>0</v>
      </c>
      <c r="G44" s="10"/>
    </row>
    <row r="45" spans="1:7">
      <c r="A45" s="11" t="s">
        <v>45</v>
      </c>
      <c r="B45" s="14" t="s">
        <v>79</v>
      </c>
      <c r="C45" s="15"/>
      <c r="D45" s="15"/>
      <c r="E45" s="16" t="s">
        <v>5</v>
      </c>
      <c r="F45" s="17">
        <f>0-E45</f>
        <v>0</v>
      </c>
      <c r="G45" s="10"/>
    </row>
    <row r="46" spans="1:7">
      <c r="A46" s="11" t="s">
        <v>46</v>
      </c>
      <c r="B46" s="14" t="s">
        <v>80</v>
      </c>
      <c r="C46" s="15"/>
      <c r="D46" s="15"/>
      <c r="E46" s="16" t="s">
        <v>5</v>
      </c>
      <c r="F46" s="17">
        <f>0-E46</f>
        <v>0</v>
      </c>
      <c r="G46" s="10"/>
    </row>
    <row r="47" spans="1:7">
      <c r="A47" s="11" t="s">
        <v>47</v>
      </c>
      <c r="B47" s="14" t="s">
        <v>81</v>
      </c>
      <c r="C47" s="15"/>
      <c r="D47" s="15"/>
      <c r="E47" s="16" t="s">
        <v>5</v>
      </c>
      <c r="F47" s="17">
        <f>0-E47</f>
        <v>0</v>
      </c>
      <c r="G47" s="10"/>
    </row>
    <row r="48" spans="1:7">
      <c r="A48" s="11" t="s">
        <v>48</v>
      </c>
      <c r="B48" s="14" t="s">
        <v>82</v>
      </c>
      <c r="C48" s="15"/>
      <c r="D48" s="15"/>
      <c r="E48" s="16" t="s">
        <v>5</v>
      </c>
      <c r="F48" s="17">
        <f>0-E48</f>
        <v>0</v>
      </c>
      <c r="G48" s="10"/>
    </row>
    <row r="49" spans="1:7">
      <c r="A49" s="11" t="s">
        <v>49</v>
      </c>
      <c r="B49" s="18" t="s">
        <v>83</v>
      </c>
      <c r="C49" s="19"/>
      <c r="D49" s="19"/>
      <c r="E49" s="8"/>
      <c r="F49" s="20">
        <f>F45+F46+F47+F48</f>
        <v>0</v>
      </c>
      <c r="G49" s="10"/>
    </row>
    <row r="50" spans="1:7">
      <c r="A50" s="11" t="s">
        <v>50</v>
      </c>
      <c r="B50" s="18" t="s">
        <v>84</v>
      </c>
      <c r="C50" s="19"/>
      <c r="D50" s="19"/>
      <c r="E50" s="8"/>
      <c r="F50" s="20">
        <f>F12+F13+F14+F16+F17+F18+F19+F20+F22+F23+F24+F25+F26+F27+F28+F29+F30+F31+F32+F33+F35+F36+F38+F39+F40+F41+F42+F45+F46+F47+F48</f>
        <v>0</v>
      </c>
      <c r="G50" s="10"/>
    </row>
    <row r="51" spans="1:7">
      <c r="A51" s="2" t="s">
        <v>123</v>
      </c>
    </row>
    <row r="53" spans="1:7">
      <c r="A53" s="1" t="s">
        <v>124</v>
      </c>
    </row>
    <row r="54" spans="1:7">
      <c r="A54" s="2" t="s">
        <v>125</v>
      </c>
    </row>
    <row r="55" spans="1:7">
      <c r="A55" s="2" t="s">
        <v>126</v>
      </c>
    </row>
    <row r="57" spans="1:7">
      <c r="B57" s="3" t="s">
        <v>127</v>
      </c>
      <c r="C57" s="3" t="s">
        <v>128</v>
      </c>
      <c r="D57" s="3" t="s">
        <v>129</v>
      </c>
      <c r="E57" s="3" t="s">
        <v>130</v>
      </c>
      <c r="F57" s="3" t="s">
        <v>131</v>
      </c>
    </row>
    <row r="58" spans="1:7">
      <c r="A58" s="11" t="s">
        <v>132</v>
      </c>
      <c r="B58" s="21" t="s">
        <v>5</v>
      </c>
      <c r="C58" s="16" t="s">
        <v>5</v>
      </c>
      <c r="D58" s="5">
        <v>0</v>
      </c>
      <c r="E58" s="4" t="s">
        <v>5</v>
      </c>
      <c r="F58" s="16" t="s">
        <v>5</v>
      </c>
      <c r="G58" s="10"/>
    </row>
    <row r="60" spans="1:7">
      <c r="A60" s="1" t="s">
        <v>133</v>
      </c>
    </row>
    <row r="61" spans="1:7">
      <c r="A61" s="2" t="s">
        <v>134</v>
      </c>
    </row>
    <row r="62" spans="1:7">
      <c r="A62" s="2" t="s">
        <v>135</v>
      </c>
    </row>
    <row r="63" spans="1:7">
      <c r="A63" s="2" t="s">
        <v>136</v>
      </c>
    </row>
    <row r="64" spans="1:7">
      <c r="A64" s="2" t="s">
        <v>137</v>
      </c>
    </row>
    <row r="65" spans="1:3">
      <c r="A65" s="2" t="s">
        <v>138</v>
      </c>
    </row>
    <row r="67" spans="1:3">
      <c r="B67" s="3" t="s">
        <v>139</v>
      </c>
    </row>
    <row r="68" spans="1:3">
      <c r="A68" s="11" t="s">
        <v>140</v>
      </c>
      <c r="B68" s="21" t="s">
        <v>5</v>
      </c>
      <c r="C68" s="10"/>
    </row>
    <row r="69" spans="1:3">
      <c r="A69" s="11" t="s">
        <v>141</v>
      </c>
      <c r="B69" s="21" t="s">
        <v>5</v>
      </c>
      <c r="C69" s="10"/>
    </row>
    <row r="70" spans="1:3">
      <c r="A70" s="11" t="s">
        <v>142</v>
      </c>
      <c r="B70" s="8"/>
      <c r="C70" s="10"/>
    </row>
    <row r="71" spans="1:3">
      <c r="A71" s="11" t="s">
        <v>143</v>
      </c>
      <c r="B71" s="21" t="s">
        <v>5</v>
      </c>
      <c r="C71" s="10"/>
    </row>
    <row r="72" spans="1:3">
      <c r="A72" s="11" t="s">
        <v>144</v>
      </c>
      <c r="B72" s="8"/>
      <c r="C72" s="10"/>
    </row>
    <row r="73" spans="1:3">
      <c r="A73" s="11" t="s">
        <v>145</v>
      </c>
      <c r="B73" s="21" t="s">
        <v>5</v>
      </c>
      <c r="C73" s="10"/>
    </row>
    <row r="74" spans="1:3">
      <c r="A74" s="11" t="s">
        <v>146</v>
      </c>
      <c r="B74" s="8"/>
      <c r="C74" s="10"/>
    </row>
    <row r="75" spans="1:3">
      <c r="A75" s="11" t="s">
        <v>147</v>
      </c>
      <c r="B75" s="8"/>
      <c r="C75" s="10"/>
    </row>
    <row r="77" spans="1:3">
      <c r="A77" s="1" t="s">
        <v>148</v>
      </c>
    </row>
    <row r="79" spans="1:3">
      <c r="B79" s="3" t="s">
        <v>149</v>
      </c>
    </row>
    <row r="80" spans="1:3">
      <c r="A80" s="11" t="s">
        <v>144</v>
      </c>
      <c r="B80" s="21" t="s">
        <v>5</v>
      </c>
      <c r="C80" s="10"/>
    </row>
    <row r="82" spans="1:3">
      <c r="A82" s="1" t="s">
        <v>150</v>
      </c>
    </row>
    <row r="84" spans="1:3">
      <c r="B84" s="3" t="s">
        <v>151</v>
      </c>
    </row>
    <row r="85" spans="1:3">
      <c r="A85" s="11" t="s">
        <v>151</v>
      </c>
      <c r="B85" s="16" t="s">
        <v>5</v>
      </c>
      <c r="C85" s="10"/>
    </row>
    <row r="87" spans="1:3">
      <c r="A87" s="1" t="s">
        <v>152</v>
      </c>
    </row>
    <row r="89" spans="1:3">
      <c r="B89" s="3" t="s">
        <v>153</v>
      </c>
    </row>
    <row r="90" spans="1:3">
      <c r="A90" s="11" t="s">
        <v>141</v>
      </c>
      <c r="B90" s="16" t="s">
        <v>5</v>
      </c>
      <c r="C90" s="10"/>
    </row>
    <row r="91" spans="1:3">
      <c r="A91" s="11" t="s">
        <v>142</v>
      </c>
      <c r="B91" s="16" t="s">
        <v>5</v>
      </c>
      <c r="C91" s="10"/>
    </row>
    <row r="92" spans="1:3">
      <c r="A92" s="11" t="s">
        <v>143</v>
      </c>
      <c r="B92" s="16" t="s">
        <v>5</v>
      </c>
      <c r="C92" s="10"/>
    </row>
    <row r="93" spans="1:3">
      <c r="A93" s="11" t="s">
        <v>144</v>
      </c>
      <c r="B93" s="16" t="s">
        <v>5</v>
      </c>
      <c r="C93" s="10"/>
    </row>
    <row r="94" spans="1:3">
      <c r="A94" s="11" t="s">
        <v>149</v>
      </c>
      <c r="B94" s="16" t="s">
        <v>5</v>
      </c>
      <c r="C94" s="10"/>
    </row>
    <row r="95" spans="1:3">
      <c r="A95" s="11" t="s">
        <v>145</v>
      </c>
      <c r="B95" s="16" t="s">
        <v>5</v>
      </c>
      <c r="C95" s="10"/>
    </row>
    <row r="96" spans="1:3">
      <c r="A96" s="11" t="s">
        <v>146</v>
      </c>
      <c r="B96" s="16" t="s">
        <v>5</v>
      </c>
      <c r="C96" s="10"/>
    </row>
    <row r="97" spans="1:10">
      <c r="A97" s="11" t="s">
        <v>147</v>
      </c>
      <c r="B97" s="16" t="s">
        <v>5</v>
      </c>
      <c r="C97" s="10"/>
    </row>
    <row r="99" spans="1:10">
      <c r="A99" s="1" t="s">
        <v>154</v>
      </c>
    </row>
    <row r="101" spans="1:10">
      <c r="B101" s="3" t="s">
        <v>155</v>
      </c>
      <c r="C101" s="3" t="s">
        <v>156</v>
      </c>
      <c r="D101" s="3" t="s">
        <v>157</v>
      </c>
      <c r="E101" s="3" t="s">
        <v>158</v>
      </c>
      <c r="F101" s="3" t="s">
        <v>159</v>
      </c>
      <c r="G101" s="3" t="s">
        <v>160</v>
      </c>
      <c r="H101" s="3" t="s">
        <v>161</v>
      </c>
      <c r="I101" s="3" t="s">
        <v>162</v>
      </c>
    </row>
    <row r="102" spans="1:10">
      <c r="A102" s="11" t="s">
        <v>163</v>
      </c>
      <c r="B102" s="16" t="s">
        <v>5</v>
      </c>
      <c r="C102" s="16" t="s">
        <v>5</v>
      </c>
      <c r="D102" s="16" t="s">
        <v>5</v>
      </c>
      <c r="E102" s="16" t="s">
        <v>5</v>
      </c>
      <c r="F102" s="16" t="s">
        <v>5</v>
      </c>
      <c r="G102" s="16" t="s">
        <v>5</v>
      </c>
      <c r="H102" s="16" t="s">
        <v>5</v>
      </c>
      <c r="I102" s="16" t="s">
        <v>5</v>
      </c>
      <c r="J102" s="10"/>
    </row>
    <row r="104" spans="1:10">
      <c r="A104" s="1" t="s">
        <v>164</v>
      </c>
    </row>
    <row r="106" spans="1:10">
      <c r="B106" s="3" t="s">
        <v>165</v>
      </c>
      <c r="C106" s="3" t="s">
        <v>166</v>
      </c>
      <c r="D106" s="3" t="s">
        <v>167</v>
      </c>
      <c r="E106" s="3" t="s">
        <v>168</v>
      </c>
      <c r="F106" s="3" t="s">
        <v>169</v>
      </c>
    </row>
    <row r="107" spans="1:10">
      <c r="A107" s="11" t="s">
        <v>170</v>
      </c>
      <c r="B107" s="16" t="s">
        <v>5</v>
      </c>
      <c r="C107" s="16" t="s">
        <v>5</v>
      </c>
      <c r="D107" s="16" t="s">
        <v>5</v>
      </c>
      <c r="E107" s="16" t="s">
        <v>5</v>
      </c>
      <c r="F107" s="16" t="s">
        <v>5</v>
      </c>
      <c r="G107" s="10"/>
    </row>
    <row r="109" spans="1:10">
      <c r="A109" s="1" t="s">
        <v>171</v>
      </c>
    </row>
    <row r="111" spans="1:10">
      <c r="B111" s="3" t="s">
        <v>155</v>
      </c>
      <c r="C111" s="3" t="s">
        <v>156</v>
      </c>
      <c r="D111" s="3" t="s">
        <v>157</v>
      </c>
      <c r="E111" s="3" t="s">
        <v>158</v>
      </c>
      <c r="F111" s="3" t="s">
        <v>159</v>
      </c>
      <c r="G111" s="3" t="s">
        <v>160</v>
      </c>
      <c r="H111" s="3" t="s">
        <v>161</v>
      </c>
      <c r="I111" s="3" t="s">
        <v>162</v>
      </c>
    </row>
    <row r="112" spans="1:10">
      <c r="A112" s="11" t="s">
        <v>172</v>
      </c>
      <c r="B112" s="21" t="s">
        <v>5</v>
      </c>
      <c r="C112" s="21" t="s">
        <v>5</v>
      </c>
      <c r="D112" s="21" t="s">
        <v>5</v>
      </c>
      <c r="E112" s="21" t="s">
        <v>5</v>
      </c>
      <c r="F112" s="21" t="s">
        <v>5</v>
      </c>
      <c r="G112" s="21" t="s">
        <v>5</v>
      </c>
      <c r="H112" s="21" t="s">
        <v>5</v>
      </c>
      <c r="I112" s="21" t="s">
        <v>5</v>
      </c>
      <c r="J112" s="10"/>
    </row>
    <row r="113" spans="1:10">
      <c r="A113" s="11" t="s">
        <v>173</v>
      </c>
      <c r="B113" s="21" t="s">
        <v>5</v>
      </c>
      <c r="C113" s="21" t="s">
        <v>5</v>
      </c>
      <c r="D113" s="21" t="s">
        <v>5</v>
      </c>
      <c r="E113" s="21" t="s">
        <v>5</v>
      </c>
      <c r="F113" s="21" t="s">
        <v>5</v>
      </c>
      <c r="G113" s="21" t="s">
        <v>5</v>
      </c>
      <c r="H113" s="21" t="s">
        <v>5</v>
      </c>
      <c r="I113" s="21" t="s">
        <v>5</v>
      </c>
      <c r="J113" s="10"/>
    </row>
    <row r="114" spans="1:10">
      <c r="A114" s="11" t="s">
        <v>174</v>
      </c>
      <c r="B114" s="21" t="s">
        <v>5</v>
      </c>
      <c r="C114" s="21" t="s">
        <v>5</v>
      </c>
      <c r="D114" s="21" t="s">
        <v>5</v>
      </c>
      <c r="E114" s="21" t="s">
        <v>5</v>
      </c>
      <c r="F114" s="21" t="s">
        <v>5</v>
      </c>
      <c r="G114" s="21" t="s">
        <v>5</v>
      </c>
      <c r="H114" s="21" t="s">
        <v>5</v>
      </c>
      <c r="I114" s="21" t="s">
        <v>5</v>
      </c>
      <c r="J114" s="10"/>
    </row>
    <row r="115" spans="1:10">
      <c r="A115" s="11" t="s">
        <v>175</v>
      </c>
      <c r="B115" s="21" t="s">
        <v>5</v>
      </c>
      <c r="C115" s="21" t="s">
        <v>5</v>
      </c>
      <c r="D115" s="21" t="s">
        <v>5</v>
      </c>
      <c r="E115" s="21" t="s">
        <v>5</v>
      </c>
      <c r="F115" s="21" t="s">
        <v>5</v>
      </c>
      <c r="G115" s="21" t="s">
        <v>5</v>
      </c>
      <c r="H115" s="21" t="s">
        <v>5</v>
      </c>
      <c r="I115" s="21" t="s">
        <v>5</v>
      </c>
      <c r="J115" s="10"/>
    </row>
    <row r="116" spans="1:10">
      <c r="A116" s="11" t="s">
        <v>176</v>
      </c>
      <c r="B116" s="21" t="s">
        <v>5</v>
      </c>
      <c r="C116" s="21" t="s">
        <v>5</v>
      </c>
      <c r="D116" s="21" t="s">
        <v>5</v>
      </c>
      <c r="E116" s="21" t="s">
        <v>5</v>
      </c>
      <c r="F116" s="21" t="s">
        <v>5</v>
      </c>
      <c r="G116" s="21" t="s">
        <v>5</v>
      </c>
      <c r="H116" s="21" t="s">
        <v>5</v>
      </c>
      <c r="I116" s="21" t="s">
        <v>5</v>
      </c>
      <c r="J116" s="10"/>
    </row>
    <row r="117" spans="1:10">
      <c r="A117" s="11" t="s">
        <v>177</v>
      </c>
      <c r="B117" s="21" t="s">
        <v>5</v>
      </c>
      <c r="C117" s="21" t="s">
        <v>5</v>
      </c>
      <c r="D117" s="21" t="s">
        <v>5</v>
      </c>
      <c r="E117" s="21" t="s">
        <v>5</v>
      </c>
      <c r="F117" s="21" t="s">
        <v>5</v>
      </c>
      <c r="G117" s="21" t="s">
        <v>5</v>
      </c>
      <c r="H117" s="21" t="s">
        <v>5</v>
      </c>
      <c r="I117" s="21" t="s">
        <v>5</v>
      </c>
      <c r="J117" s="10"/>
    </row>
    <row r="118" spans="1:10">
      <c r="A118" s="11" t="s">
        <v>178</v>
      </c>
      <c r="B118" s="21" t="s">
        <v>5</v>
      </c>
      <c r="C118" s="21" t="s">
        <v>5</v>
      </c>
      <c r="D118" s="21" t="s">
        <v>5</v>
      </c>
      <c r="E118" s="21" t="s">
        <v>5</v>
      </c>
      <c r="F118" s="21" t="s">
        <v>5</v>
      </c>
      <c r="G118" s="21" t="s">
        <v>5</v>
      </c>
      <c r="H118" s="21" t="s">
        <v>5</v>
      </c>
      <c r="I118" s="21" t="s">
        <v>5</v>
      </c>
      <c r="J118" s="10"/>
    </row>
    <row r="119" spans="1:10">
      <c r="A119" s="11" t="s">
        <v>179</v>
      </c>
      <c r="B119" s="21" t="s">
        <v>5</v>
      </c>
      <c r="C119" s="21" t="s">
        <v>5</v>
      </c>
      <c r="D119" s="21" t="s">
        <v>5</v>
      </c>
      <c r="E119" s="21" t="s">
        <v>5</v>
      </c>
      <c r="F119" s="21" t="s">
        <v>5</v>
      </c>
      <c r="G119" s="21" t="s">
        <v>5</v>
      </c>
      <c r="H119" s="21" t="s">
        <v>5</v>
      </c>
      <c r="I119" s="21" t="s">
        <v>5</v>
      </c>
      <c r="J119" s="10"/>
    </row>
    <row r="120" spans="1:10">
      <c r="A120" s="11" t="s">
        <v>180</v>
      </c>
      <c r="B120" s="21" t="s">
        <v>5</v>
      </c>
      <c r="C120" s="21" t="s">
        <v>5</v>
      </c>
      <c r="D120" s="21" t="s">
        <v>5</v>
      </c>
      <c r="E120" s="21" t="s">
        <v>5</v>
      </c>
      <c r="F120" s="21" t="s">
        <v>5</v>
      </c>
      <c r="G120" s="21" t="s">
        <v>5</v>
      </c>
      <c r="H120" s="21" t="s">
        <v>5</v>
      </c>
      <c r="I120" s="21" t="s">
        <v>5</v>
      </c>
      <c r="J120" s="10"/>
    </row>
    <row r="121" spans="1:10">
      <c r="A121" s="11" t="s">
        <v>181</v>
      </c>
      <c r="B121" s="21" t="s">
        <v>5</v>
      </c>
      <c r="C121" s="21" t="s">
        <v>5</v>
      </c>
      <c r="D121" s="21" t="s">
        <v>5</v>
      </c>
      <c r="E121" s="21" t="s">
        <v>5</v>
      </c>
      <c r="F121" s="21" t="s">
        <v>5</v>
      </c>
      <c r="G121" s="21" t="s">
        <v>5</v>
      </c>
      <c r="H121" s="21" t="s">
        <v>5</v>
      </c>
      <c r="I121" s="21" t="s">
        <v>5</v>
      </c>
      <c r="J121" s="10"/>
    </row>
    <row r="122" spans="1:10">
      <c r="A122" s="11" t="s">
        <v>182</v>
      </c>
      <c r="B122" s="21" t="s">
        <v>5</v>
      </c>
      <c r="C122" s="21" t="s">
        <v>5</v>
      </c>
      <c r="D122" s="21" t="s">
        <v>5</v>
      </c>
      <c r="E122" s="21" t="s">
        <v>5</v>
      </c>
      <c r="F122" s="21" t="s">
        <v>5</v>
      </c>
      <c r="G122" s="21" t="s">
        <v>5</v>
      </c>
      <c r="H122" s="21" t="s">
        <v>5</v>
      </c>
      <c r="I122" s="21" t="s">
        <v>5</v>
      </c>
      <c r="J122" s="10"/>
    </row>
    <row r="123" spans="1:10">
      <c r="A123" s="11" t="s">
        <v>183</v>
      </c>
      <c r="B123" s="21" t="s">
        <v>5</v>
      </c>
      <c r="C123" s="21" t="s">
        <v>5</v>
      </c>
      <c r="D123" s="21" t="s">
        <v>5</v>
      </c>
      <c r="E123" s="21" t="s">
        <v>5</v>
      </c>
      <c r="F123" s="21" t="s">
        <v>5</v>
      </c>
      <c r="G123" s="21" t="s">
        <v>5</v>
      </c>
      <c r="H123" s="21" t="s">
        <v>5</v>
      </c>
      <c r="I123" s="21" t="s">
        <v>5</v>
      </c>
      <c r="J123" s="10"/>
    </row>
    <row r="124" spans="1:10">
      <c r="A124" s="11" t="s">
        <v>184</v>
      </c>
      <c r="B124" s="21" t="s">
        <v>5</v>
      </c>
      <c r="C124" s="21" t="s">
        <v>5</v>
      </c>
      <c r="D124" s="21" t="s">
        <v>5</v>
      </c>
      <c r="E124" s="21" t="s">
        <v>5</v>
      </c>
      <c r="F124" s="21" t="s">
        <v>5</v>
      </c>
      <c r="G124" s="21" t="s">
        <v>5</v>
      </c>
      <c r="H124" s="21" t="s">
        <v>5</v>
      </c>
      <c r="I124" s="21" t="s">
        <v>5</v>
      </c>
      <c r="J124" s="10"/>
    </row>
    <row r="125" spans="1:10">
      <c r="A125" s="11" t="s">
        <v>185</v>
      </c>
      <c r="B125" s="21" t="s">
        <v>5</v>
      </c>
      <c r="C125" s="21" t="s">
        <v>5</v>
      </c>
      <c r="D125" s="21" t="s">
        <v>5</v>
      </c>
      <c r="E125" s="21" t="s">
        <v>5</v>
      </c>
      <c r="F125" s="21" t="s">
        <v>5</v>
      </c>
      <c r="G125" s="21" t="s">
        <v>5</v>
      </c>
      <c r="H125" s="21" t="s">
        <v>5</v>
      </c>
      <c r="I125" s="21" t="s">
        <v>5</v>
      </c>
      <c r="J125" s="10"/>
    </row>
    <row r="127" spans="1:10">
      <c r="A127" s="1" t="s">
        <v>186</v>
      </c>
    </row>
    <row r="128" spans="1:10">
      <c r="A128" s="2" t="s">
        <v>187</v>
      </c>
    </row>
    <row r="129" spans="1:10">
      <c r="A129" s="2" t="s">
        <v>188</v>
      </c>
    </row>
    <row r="131" spans="1:10">
      <c r="B131" s="3" t="s">
        <v>155</v>
      </c>
      <c r="C131" s="3" t="s">
        <v>156</v>
      </c>
      <c r="D131" s="3" t="s">
        <v>157</v>
      </c>
      <c r="E131" s="3" t="s">
        <v>158</v>
      </c>
      <c r="F131" s="3" t="s">
        <v>159</v>
      </c>
      <c r="G131" s="3" t="s">
        <v>160</v>
      </c>
      <c r="H131" s="3" t="s">
        <v>161</v>
      </c>
      <c r="I131" s="3" t="s">
        <v>162</v>
      </c>
    </row>
    <row r="132" spans="1:10">
      <c r="A132" s="11" t="s">
        <v>189</v>
      </c>
      <c r="B132" s="4" t="s">
        <v>5</v>
      </c>
      <c r="C132" s="4" t="s">
        <v>5</v>
      </c>
      <c r="D132" s="4" t="s">
        <v>5</v>
      </c>
      <c r="E132" s="4" t="s">
        <v>5</v>
      </c>
      <c r="F132" s="4" t="s">
        <v>5</v>
      </c>
      <c r="G132" s="4" t="s">
        <v>5</v>
      </c>
      <c r="H132" s="4" t="s">
        <v>5</v>
      </c>
      <c r="I132" s="4" t="s">
        <v>5</v>
      </c>
      <c r="J132" s="10"/>
    </row>
    <row r="134" spans="1:10">
      <c r="A134" s="1" t="s">
        <v>190</v>
      </c>
    </row>
    <row r="136" spans="1:10">
      <c r="B136" s="3" t="s">
        <v>165</v>
      </c>
      <c r="C136" s="3" t="s">
        <v>166</v>
      </c>
      <c r="D136" s="3" t="s">
        <v>167</v>
      </c>
      <c r="E136" s="3" t="s">
        <v>168</v>
      </c>
      <c r="F136" s="3" t="s">
        <v>169</v>
      </c>
    </row>
    <row r="137" spans="1:10">
      <c r="A137" s="11" t="s">
        <v>191</v>
      </c>
      <c r="B137" s="21" t="s">
        <v>5</v>
      </c>
      <c r="C137" s="21" t="s">
        <v>5</v>
      </c>
      <c r="D137" s="21" t="s">
        <v>5</v>
      </c>
      <c r="E137" s="21" t="s">
        <v>5</v>
      </c>
      <c r="F137" s="21" t="s">
        <v>5</v>
      </c>
      <c r="G137" s="10"/>
    </row>
    <row r="138" spans="1:10">
      <c r="A138" s="11" t="s">
        <v>192</v>
      </c>
      <c r="B138" s="21" t="s">
        <v>5</v>
      </c>
      <c r="C138" s="21" t="s">
        <v>5</v>
      </c>
      <c r="D138" s="21" t="s">
        <v>5</v>
      </c>
      <c r="E138" s="21" t="s">
        <v>5</v>
      </c>
      <c r="F138" s="21" t="s">
        <v>5</v>
      </c>
      <c r="G138" s="10"/>
    </row>
    <row r="139" spans="1:10">
      <c r="A139" s="11" t="s">
        <v>193</v>
      </c>
      <c r="B139" s="21" t="s">
        <v>5</v>
      </c>
      <c r="C139" s="21" t="s">
        <v>5</v>
      </c>
      <c r="D139" s="21" t="s">
        <v>5</v>
      </c>
      <c r="E139" s="21" t="s">
        <v>5</v>
      </c>
      <c r="F139" s="21" t="s">
        <v>5</v>
      </c>
      <c r="G139" s="10"/>
    </row>
    <row r="140" spans="1:10">
      <c r="A140" s="11" t="s">
        <v>194</v>
      </c>
      <c r="B140" s="21" t="s">
        <v>5</v>
      </c>
      <c r="C140" s="21" t="s">
        <v>5</v>
      </c>
      <c r="D140" s="21" t="s">
        <v>5</v>
      </c>
      <c r="E140" s="21" t="s">
        <v>5</v>
      </c>
      <c r="F140" s="21" t="s">
        <v>5</v>
      </c>
      <c r="G140" s="10"/>
    </row>
    <row r="142" spans="1:10">
      <c r="A142" s="1" t="s">
        <v>195</v>
      </c>
    </row>
    <row r="143" spans="1:10">
      <c r="A143" s="2" t="s">
        <v>196</v>
      </c>
    </row>
    <row r="145" spans="1:9">
      <c r="B145" s="3" t="s">
        <v>141</v>
      </c>
      <c r="C145" s="3" t="s">
        <v>142</v>
      </c>
      <c r="D145" s="3" t="s">
        <v>143</v>
      </c>
      <c r="E145" s="3" t="s">
        <v>144</v>
      </c>
      <c r="F145" s="3" t="s">
        <v>145</v>
      </c>
      <c r="G145" s="3" t="s">
        <v>146</v>
      </c>
      <c r="H145" s="3" t="s">
        <v>147</v>
      </c>
    </row>
    <row r="146" spans="1:9">
      <c r="A146" s="11" t="s">
        <v>197</v>
      </c>
      <c r="B146" s="4" t="s">
        <v>5</v>
      </c>
      <c r="C146" s="4" t="s">
        <v>5</v>
      </c>
      <c r="D146" s="4" t="s">
        <v>5</v>
      </c>
      <c r="E146" s="4" t="s">
        <v>5</v>
      </c>
      <c r="F146" s="4" t="s">
        <v>5</v>
      </c>
      <c r="G146" s="4" t="s">
        <v>5</v>
      </c>
      <c r="H146" s="4" t="s">
        <v>5</v>
      </c>
      <c r="I146" s="10"/>
    </row>
    <row r="148" spans="1:9">
      <c r="A148" s="1" t="s">
        <v>198</v>
      </c>
    </row>
    <row r="149" spans="1:9">
      <c r="A149" s="2" t="s">
        <v>199</v>
      </c>
    </row>
    <row r="151" spans="1:9">
      <c r="B151" s="3" t="s">
        <v>200</v>
      </c>
      <c r="C151" s="3" t="s">
        <v>201</v>
      </c>
      <c r="D151" s="3" t="s">
        <v>202</v>
      </c>
      <c r="E151" s="3" t="s">
        <v>203</v>
      </c>
      <c r="F151" s="3" t="s">
        <v>204</v>
      </c>
    </row>
    <row r="152" spans="1:9">
      <c r="A152" s="11" t="s">
        <v>205</v>
      </c>
      <c r="B152" s="8"/>
      <c r="C152" s="21" t="s">
        <v>5</v>
      </c>
      <c r="D152" s="21" t="s">
        <v>5</v>
      </c>
      <c r="E152" s="21" t="s">
        <v>5</v>
      </c>
      <c r="F152" s="21" t="s">
        <v>5</v>
      </c>
      <c r="G152" s="10"/>
    </row>
    <row r="154" spans="1:9">
      <c r="A154" s="1" t="s">
        <v>206</v>
      </c>
    </row>
    <row r="155" spans="1:9">
      <c r="A155" s="2" t="s">
        <v>207</v>
      </c>
    </row>
    <row r="157" spans="1:9">
      <c r="B157" s="3" t="s">
        <v>208</v>
      </c>
      <c r="C157" s="3" t="s">
        <v>209</v>
      </c>
    </row>
    <row r="158" spans="1:9">
      <c r="A158" s="11" t="s">
        <v>172</v>
      </c>
      <c r="B158" s="4" t="s">
        <v>5</v>
      </c>
      <c r="C158" s="4" t="s">
        <v>5</v>
      </c>
      <c r="D158" s="10"/>
    </row>
    <row r="159" spans="1:9">
      <c r="A159" s="11" t="s">
        <v>173</v>
      </c>
      <c r="B159" s="4" t="s">
        <v>5</v>
      </c>
      <c r="C159" s="4" t="s">
        <v>5</v>
      </c>
      <c r="D159" s="10"/>
    </row>
    <row r="160" spans="1:9">
      <c r="A160" s="11" t="s">
        <v>210</v>
      </c>
      <c r="B160" s="8"/>
      <c r="C160" s="4" t="s">
        <v>5</v>
      </c>
      <c r="D160" s="10"/>
    </row>
    <row r="161" spans="1:4">
      <c r="A161" s="11" t="s">
        <v>174</v>
      </c>
      <c r="B161" s="4" t="s">
        <v>5</v>
      </c>
      <c r="C161" s="4" t="s">
        <v>5</v>
      </c>
      <c r="D161" s="10"/>
    </row>
    <row r="162" spans="1:4">
      <c r="A162" s="11" t="s">
        <v>175</v>
      </c>
      <c r="B162" s="4" t="s">
        <v>5</v>
      </c>
      <c r="C162" s="4" t="s">
        <v>5</v>
      </c>
      <c r="D162" s="10"/>
    </row>
    <row r="163" spans="1:4">
      <c r="A163" s="11" t="s">
        <v>211</v>
      </c>
      <c r="B163" s="8"/>
      <c r="C163" s="4" t="s">
        <v>5</v>
      </c>
      <c r="D163" s="10"/>
    </row>
    <row r="164" spans="1:4">
      <c r="A164" s="11" t="s">
        <v>176</v>
      </c>
      <c r="B164" s="4" t="s">
        <v>5</v>
      </c>
      <c r="C164" s="4" t="s">
        <v>5</v>
      </c>
      <c r="D164" s="10"/>
    </row>
    <row r="165" spans="1:4">
      <c r="A165" s="11" t="s">
        <v>177</v>
      </c>
      <c r="B165" s="4" t="s">
        <v>5</v>
      </c>
      <c r="C165" s="4" t="s">
        <v>5</v>
      </c>
      <c r="D165" s="10"/>
    </row>
    <row r="166" spans="1:4">
      <c r="A166" s="11" t="s">
        <v>191</v>
      </c>
      <c r="B166" s="4" t="s">
        <v>5</v>
      </c>
      <c r="C166" s="4" t="s">
        <v>5</v>
      </c>
      <c r="D166" s="10"/>
    </row>
    <row r="167" spans="1:4">
      <c r="A167" s="11" t="s">
        <v>178</v>
      </c>
      <c r="B167" s="4" t="s">
        <v>5</v>
      </c>
      <c r="C167" s="4" t="s">
        <v>5</v>
      </c>
      <c r="D167" s="10"/>
    </row>
    <row r="168" spans="1:4">
      <c r="A168" s="11" t="s">
        <v>179</v>
      </c>
      <c r="B168" s="4" t="s">
        <v>5</v>
      </c>
      <c r="C168" s="4" t="s">
        <v>5</v>
      </c>
      <c r="D168" s="10"/>
    </row>
    <row r="169" spans="1:4">
      <c r="A169" s="11" t="s">
        <v>192</v>
      </c>
      <c r="B169" s="4" t="s">
        <v>5</v>
      </c>
      <c r="C169" s="4" t="s">
        <v>5</v>
      </c>
      <c r="D169" s="10"/>
    </row>
    <row r="170" spans="1:4">
      <c r="A170" s="11" t="s">
        <v>212</v>
      </c>
      <c r="B170" s="4" t="s">
        <v>5</v>
      </c>
      <c r="C170" s="4" t="s">
        <v>5</v>
      </c>
      <c r="D170" s="10"/>
    </row>
    <row r="171" spans="1:4">
      <c r="A171" s="11" t="s">
        <v>213</v>
      </c>
      <c r="B171" s="4" t="s">
        <v>5</v>
      </c>
      <c r="C171" s="4" t="s">
        <v>5</v>
      </c>
      <c r="D171" s="10"/>
    </row>
    <row r="172" spans="1:4">
      <c r="A172" s="11" t="s">
        <v>214</v>
      </c>
      <c r="B172" s="4" t="s">
        <v>5</v>
      </c>
      <c r="C172" s="4" t="s">
        <v>5</v>
      </c>
      <c r="D172" s="10"/>
    </row>
    <row r="173" spans="1:4">
      <c r="A173" s="11" t="s">
        <v>215</v>
      </c>
      <c r="B173" s="4" t="s">
        <v>5</v>
      </c>
      <c r="C173" s="4" t="s">
        <v>5</v>
      </c>
      <c r="D173" s="10"/>
    </row>
    <row r="174" spans="1:4">
      <c r="A174" s="11" t="s">
        <v>216</v>
      </c>
      <c r="B174" s="4" t="s">
        <v>5</v>
      </c>
      <c r="C174" s="4" t="s">
        <v>5</v>
      </c>
      <c r="D174" s="10"/>
    </row>
    <row r="176" spans="1:4">
      <c r="A176" s="1" t="s">
        <v>217</v>
      </c>
    </row>
    <row r="177" spans="1:8">
      <c r="A177" s="2" t="s">
        <v>218</v>
      </c>
    </row>
    <row r="178" spans="1:8">
      <c r="A178" s="2" t="s">
        <v>219</v>
      </c>
    </row>
    <row r="179" spans="1:8">
      <c r="A179" s="2" t="s">
        <v>220</v>
      </c>
    </row>
    <row r="181" spans="1:8">
      <c r="B181" s="3" t="s">
        <v>221</v>
      </c>
      <c r="C181" s="3" t="s">
        <v>222</v>
      </c>
      <c r="D181" s="3" t="s">
        <v>223</v>
      </c>
      <c r="E181" s="3" t="s">
        <v>224</v>
      </c>
      <c r="F181" s="3" t="s">
        <v>225</v>
      </c>
      <c r="G181" s="3" t="s">
        <v>226</v>
      </c>
    </row>
    <row r="182" spans="1:8">
      <c r="A182" s="22" t="s">
        <v>227</v>
      </c>
      <c r="B182" s="23"/>
      <c r="C182" s="23"/>
      <c r="D182" s="23"/>
      <c r="E182" s="23"/>
      <c r="F182" s="23"/>
      <c r="G182" s="23"/>
      <c r="H182" s="10"/>
    </row>
    <row r="183" spans="1:8">
      <c r="A183" s="11" t="s">
        <v>172</v>
      </c>
      <c r="B183" s="4" t="s">
        <v>5</v>
      </c>
      <c r="C183" s="8"/>
      <c r="D183" s="8"/>
      <c r="E183" s="16" t="s">
        <v>5</v>
      </c>
      <c r="F183" s="8"/>
      <c r="G183" s="8"/>
      <c r="H183" s="10"/>
    </row>
    <row r="184" spans="1:8">
      <c r="A184" s="11" t="s">
        <v>228</v>
      </c>
      <c r="B184" s="4" t="s">
        <v>5</v>
      </c>
      <c r="C184" s="8"/>
      <c r="D184" s="8"/>
      <c r="E184" s="16" t="s">
        <v>5</v>
      </c>
      <c r="F184" s="8"/>
      <c r="G184" s="8"/>
      <c r="H184" s="10"/>
    </row>
    <row r="185" spans="1:8">
      <c r="A185" s="11" t="s">
        <v>229</v>
      </c>
      <c r="B185" s="4" t="s">
        <v>5</v>
      </c>
      <c r="C185" s="8"/>
      <c r="D185" s="8"/>
      <c r="E185" s="16" t="s">
        <v>5</v>
      </c>
      <c r="F185" s="8"/>
      <c r="G185" s="8"/>
      <c r="H185" s="10"/>
    </row>
    <row r="186" spans="1:8">
      <c r="A186" s="22" t="s">
        <v>230</v>
      </c>
      <c r="B186" s="23"/>
      <c r="C186" s="23"/>
      <c r="D186" s="23"/>
      <c r="E186" s="23"/>
      <c r="F186" s="23"/>
      <c r="G186" s="23"/>
      <c r="H186" s="10"/>
    </row>
    <row r="187" spans="1:8">
      <c r="A187" s="11" t="s">
        <v>173</v>
      </c>
      <c r="B187" s="4" t="s">
        <v>5</v>
      </c>
      <c r="C187" s="4" t="s">
        <v>5</v>
      </c>
      <c r="D187" s="8"/>
      <c r="E187" s="16" t="s">
        <v>5</v>
      </c>
      <c r="F187" s="8"/>
      <c r="G187" s="8"/>
      <c r="H187" s="10"/>
    </row>
    <row r="188" spans="1:8">
      <c r="A188" s="11" t="s">
        <v>231</v>
      </c>
      <c r="B188" s="4" t="s">
        <v>5</v>
      </c>
      <c r="C188" s="4" t="s">
        <v>5</v>
      </c>
      <c r="D188" s="8"/>
      <c r="E188" s="16" t="s">
        <v>5</v>
      </c>
      <c r="F188" s="8"/>
      <c r="G188" s="8"/>
      <c r="H188" s="10"/>
    </row>
    <row r="189" spans="1:8">
      <c r="A189" s="11" t="s">
        <v>232</v>
      </c>
      <c r="B189" s="4" t="s">
        <v>5</v>
      </c>
      <c r="C189" s="4" t="s">
        <v>5</v>
      </c>
      <c r="D189" s="8"/>
      <c r="E189" s="16" t="s">
        <v>5</v>
      </c>
      <c r="F189" s="8"/>
      <c r="G189" s="8"/>
      <c r="H189" s="10"/>
    </row>
    <row r="190" spans="1:8">
      <c r="A190" s="22" t="s">
        <v>233</v>
      </c>
      <c r="B190" s="23"/>
      <c r="C190" s="23"/>
      <c r="D190" s="23"/>
      <c r="E190" s="23"/>
      <c r="F190" s="23"/>
      <c r="G190" s="23"/>
      <c r="H190" s="10"/>
    </row>
    <row r="191" spans="1:8">
      <c r="A191" s="11" t="s">
        <v>210</v>
      </c>
      <c r="B191" s="4" t="s">
        <v>5</v>
      </c>
      <c r="C191" s="8"/>
      <c r="D191" s="8"/>
      <c r="E191" s="16" t="s">
        <v>5</v>
      </c>
      <c r="F191" s="8"/>
      <c r="G191" s="8"/>
      <c r="H191" s="10"/>
    </row>
    <row r="192" spans="1:8">
      <c r="A192" s="11" t="s">
        <v>234</v>
      </c>
      <c r="B192" s="4" t="s">
        <v>5</v>
      </c>
      <c r="C192" s="8"/>
      <c r="D192" s="8"/>
      <c r="E192" s="16" t="s">
        <v>5</v>
      </c>
      <c r="F192" s="8"/>
      <c r="G192" s="8"/>
      <c r="H192" s="10"/>
    </row>
    <row r="193" spans="1:8">
      <c r="A193" s="11" t="s">
        <v>235</v>
      </c>
      <c r="B193" s="4" t="s">
        <v>5</v>
      </c>
      <c r="C193" s="8"/>
      <c r="D193" s="8"/>
      <c r="E193" s="16" t="s">
        <v>5</v>
      </c>
      <c r="F193" s="8"/>
      <c r="G193" s="8"/>
      <c r="H193" s="10"/>
    </row>
    <row r="194" spans="1:8">
      <c r="A194" s="22" t="s">
        <v>236</v>
      </c>
      <c r="B194" s="23"/>
      <c r="C194" s="23"/>
      <c r="D194" s="23"/>
      <c r="E194" s="23"/>
      <c r="F194" s="23"/>
      <c r="G194" s="23"/>
      <c r="H194" s="10"/>
    </row>
    <row r="195" spans="1:8">
      <c r="A195" s="11" t="s">
        <v>174</v>
      </c>
      <c r="B195" s="4" t="s">
        <v>5</v>
      </c>
      <c r="C195" s="8"/>
      <c r="D195" s="8"/>
      <c r="E195" s="16" t="s">
        <v>5</v>
      </c>
      <c r="F195" s="8"/>
      <c r="G195" s="8"/>
      <c r="H195" s="10"/>
    </row>
    <row r="196" spans="1:8">
      <c r="A196" s="11" t="s">
        <v>237</v>
      </c>
      <c r="B196" s="4" t="s">
        <v>5</v>
      </c>
      <c r="C196" s="8"/>
      <c r="D196" s="8"/>
      <c r="E196" s="16" t="s">
        <v>5</v>
      </c>
      <c r="F196" s="8"/>
      <c r="G196" s="8"/>
      <c r="H196" s="10"/>
    </row>
    <row r="197" spans="1:8">
      <c r="A197" s="11" t="s">
        <v>238</v>
      </c>
      <c r="B197" s="4" t="s">
        <v>5</v>
      </c>
      <c r="C197" s="8"/>
      <c r="D197" s="8"/>
      <c r="E197" s="16" t="s">
        <v>5</v>
      </c>
      <c r="F197" s="8"/>
      <c r="G197" s="8"/>
      <c r="H197" s="10"/>
    </row>
    <row r="198" spans="1:8">
      <c r="A198" s="22" t="s">
        <v>239</v>
      </c>
      <c r="B198" s="23"/>
      <c r="C198" s="23"/>
      <c r="D198" s="23"/>
      <c r="E198" s="23"/>
      <c r="F198" s="23"/>
      <c r="G198" s="23"/>
      <c r="H198" s="10"/>
    </row>
    <row r="199" spans="1:8">
      <c r="A199" s="11" t="s">
        <v>175</v>
      </c>
      <c r="B199" s="4" t="s">
        <v>5</v>
      </c>
      <c r="C199" s="4" t="s">
        <v>5</v>
      </c>
      <c r="D199" s="8"/>
      <c r="E199" s="16" t="s">
        <v>5</v>
      </c>
      <c r="F199" s="8"/>
      <c r="G199" s="8"/>
      <c r="H199" s="10"/>
    </row>
    <row r="200" spans="1:8">
      <c r="A200" s="11" t="s">
        <v>240</v>
      </c>
      <c r="B200" s="4" t="s">
        <v>5</v>
      </c>
      <c r="C200" s="4" t="s">
        <v>5</v>
      </c>
      <c r="D200" s="8"/>
      <c r="E200" s="16" t="s">
        <v>5</v>
      </c>
      <c r="F200" s="8"/>
      <c r="G200" s="8"/>
      <c r="H200" s="10"/>
    </row>
    <row r="201" spans="1:8">
      <c r="A201" s="11" t="s">
        <v>241</v>
      </c>
      <c r="B201" s="4" t="s">
        <v>5</v>
      </c>
      <c r="C201" s="4" t="s">
        <v>5</v>
      </c>
      <c r="D201" s="8"/>
      <c r="E201" s="16" t="s">
        <v>5</v>
      </c>
      <c r="F201" s="8"/>
      <c r="G201" s="8"/>
      <c r="H201" s="10"/>
    </row>
    <row r="202" spans="1:8">
      <c r="A202" s="22" t="s">
        <v>242</v>
      </c>
      <c r="B202" s="23"/>
      <c r="C202" s="23"/>
      <c r="D202" s="23"/>
      <c r="E202" s="23"/>
      <c r="F202" s="23"/>
      <c r="G202" s="23"/>
      <c r="H202" s="10"/>
    </row>
    <row r="203" spans="1:8">
      <c r="A203" s="11" t="s">
        <v>211</v>
      </c>
      <c r="B203" s="4" t="s">
        <v>5</v>
      </c>
      <c r="C203" s="8"/>
      <c r="D203" s="8"/>
      <c r="E203" s="16" t="s">
        <v>5</v>
      </c>
      <c r="F203" s="8"/>
      <c r="G203" s="8"/>
      <c r="H203" s="10"/>
    </row>
    <row r="204" spans="1:8">
      <c r="A204" s="11" t="s">
        <v>243</v>
      </c>
      <c r="B204" s="4" t="s">
        <v>5</v>
      </c>
      <c r="C204" s="8"/>
      <c r="D204" s="8"/>
      <c r="E204" s="16" t="s">
        <v>5</v>
      </c>
      <c r="F204" s="8"/>
      <c r="G204" s="8"/>
      <c r="H204" s="10"/>
    </row>
    <row r="205" spans="1:8">
      <c r="A205" s="11" t="s">
        <v>244</v>
      </c>
      <c r="B205" s="4" t="s">
        <v>5</v>
      </c>
      <c r="C205" s="8"/>
      <c r="D205" s="8"/>
      <c r="E205" s="16" t="s">
        <v>5</v>
      </c>
      <c r="F205" s="8"/>
      <c r="G205" s="8"/>
      <c r="H205" s="10"/>
    </row>
    <row r="206" spans="1:8">
      <c r="A206" s="22" t="s">
        <v>245</v>
      </c>
      <c r="B206" s="23"/>
      <c r="C206" s="23"/>
      <c r="D206" s="23"/>
      <c r="E206" s="23"/>
      <c r="F206" s="23"/>
      <c r="G206" s="23"/>
      <c r="H206" s="10"/>
    </row>
    <row r="207" spans="1:8">
      <c r="A207" s="11" t="s">
        <v>176</v>
      </c>
      <c r="B207" s="4" t="s">
        <v>5</v>
      </c>
      <c r="C207" s="4" t="s">
        <v>5</v>
      </c>
      <c r="D207" s="8"/>
      <c r="E207" s="16" t="s">
        <v>5</v>
      </c>
      <c r="F207" s="8"/>
      <c r="G207" s="8"/>
      <c r="H207" s="10"/>
    </row>
    <row r="208" spans="1:8">
      <c r="A208" s="11" t="s">
        <v>246</v>
      </c>
      <c r="B208" s="4" t="s">
        <v>5</v>
      </c>
      <c r="C208" s="4" t="s">
        <v>5</v>
      </c>
      <c r="D208" s="8"/>
      <c r="E208" s="16" t="s">
        <v>5</v>
      </c>
      <c r="F208" s="8"/>
      <c r="G208" s="8"/>
      <c r="H208" s="10"/>
    </row>
    <row r="209" spans="1:8">
      <c r="A209" s="11" t="s">
        <v>247</v>
      </c>
      <c r="B209" s="4" t="s">
        <v>5</v>
      </c>
      <c r="C209" s="4" t="s">
        <v>5</v>
      </c>
      <c r="D209" s="8"/>
      <c r="E209" s="16" t="s">
        <v>5</v>
      </c>
      <c r="F209" s="8"/>
      <c r="G209" s="8"/>
      <c r="H209" s="10"/>
    </row>
    <row r="210" spans="1:8">
      <c r="A210" s="22" t="s">
        <v>248</v>
      </c>
      <c r="B210" s="23"/>
      <c r="C210" s="23"/>
      <c r="D210" s="23"/>
      <c r="E210" s="23"/>
      <c r="F210" s="23"/>
      <c r="G210" s="23"/>
      <c r="H210" s="10"/>
    </row>
    <row r="211" spans="1:8">
      <c r="A211" s="11" t="s">
        <v>177</v>
      </c>
      <c r="B211" s="4" t="s">
        <v>5</v>
      </c>
      <c r="C211" s="4" t="s">
        <v>5</v>
      </c>
      <c r="D211" s="8"/>
      <c r="E211" s="16" t="s">
        <v>5</v>
      </c>
      <c r="F211" s="8"/>
      <c r="G211" s="8"/>
      <c r="H211" s="10"/>
    </row>
    <row r="212" spans="1:8">
      <c r="A212" s="22" t="s">
        <v>249</v>
      </c>
      <c r="B212" s="23"/>
      <c r="C212" s="23"/>
      <c r="D212" s="23"/>
      <c r="E212" s="23"/>
      <c r="F212" s="23"/>
      <c r="G212" s="23"/>
      <c r="H212" s="10"/>
    </row>
    <row r="213" spans="1:8">
      <c r="A213" s="11" t="s">
        <v>191</v>
      </c>
      <c r="B213" s="4" t="s">
        <v>5</v>
      </c>
      <c r="C213" s="4" t="s">
        <v>5</v>
      </c>
      <c r="D213" s="8"/>
      <c r="E213" s="16" t="s">
        <v>5</v>
      </c>
      <c r="F213" s="8"/>
      <c r="G213" s="8"/>
      <c r="H213" s="10"/>
    </row>
    <row r="214" spans="1:8">
      <c r="A214" s="22" t="s">
        <v>250</v>
      </c>
      <c r="B214" s="23"/>
      <c r="C214" s="23"/>
      <c r="D214" s="23"/>
      <c r="E214" s="23"/>
      <c r="F214" s="23"/>
      <c r="G214" s="23"/>
      <c r="H214" s="10"/>
    </row>
    <row r="215" spans="1:8">
      <c r="A215" s="11" t="s">
        <v>178</v>
      </c>
      <c r="B215" s="4" t="s">
        <v>5</v>
      </c>
      <c r="C215" s="4" t="s">
        <v>5</v>
      </c>
      <c r="D215" s="4" t="s">
        <v>5</v>
      </c>
      <c r="E215" s="16" t="s">
        <v>5</v>
      </c>
      <c r="F215" s="16" t="s">
        <v>5</v>
      </c>
      <c r="G215" s="4" t="s">
        <v>5</v>
      </c>
      <c r="H215" s="10"/>
    </row>
    <row r="216" spans="1:8">
      <c r="A216" s="11" t="s">
        <v>251</v>
      </c>
      <c r="B216" s="4" t="s">
        <v>5</v>
      </c>
      <c r="C216" s="4" t="s">
        <v>5</v>
      </c>
      <c r="D216" s="4" t="s">
        <v>5</v>
      </c>
      <c r="E216" s="16" t="s">
        <v>5</v>
      </c>
      <c r="F216" s="16" t="s">
        <v>5</v>
      </c>
      <c r="G216" s="4" t="s">
        <v>5</v>
      </c>
      <c r="H216" s="10"/>
    </row>
    <row r="217" spans="1:8">
      <c r="A217" s="11" t="s">
        <v>252</v>
      </c>
      <c r="B217" s="4" t="s">
        <v>5</v>
      </c>
      <c r="C217" s="4" t="s">
        <v>5</v>
      </c>
      <c r="D217" s="4" t="s">
        <v>5</v>
      </c>
      <c r="E217" s="16" t="s">
        <v>5</v>
      </c>
      <c r="F217" s="16" t="s">
        <v>5</v>
      </c>
      <c r="G217" s="4" t="s">
        <v>5</v>
      </c>
      <c r="H217" s="10"/>
    </row>
    <row r="218" spans="1:8">
      <c r="A218" s="22" t="s">
        <v>253</v>
      </c>
      <c r="B218" s="23"/>
      <c r="C218" s="23"/>
      <c r="D218" s="23"/>
      <c r="E218" s="23"/>
      <c r="F218" s="23"/>
      <c r="G218" s="23"/>
      <c r="H218" s="10"/>
    </row>
    <row r="219" spans="1:8">
      <c r="A219" s="11" t="s">
        <v>179</v>
      </c>
      <c r="B219" s="4" t="s">
        <v>5</v>
      </c>
      <c r="C219" s="4" t="s">
        <v>5</v>
      </c>
      <c r="D219" s="4" t="s">
        <v>5</v>
      </c>
      <c r="E219" s="16" t="s">
        <v>5</v>
      </c>
      <c r="F219" s="16" t="s">
        <v>5</v>
      </c>
      <c r="G219" s="4" t="s">
        <v>5</v>
      </c>
      <c r="H219" s="10"/>
    </row>
    <row r="220" spans="1:8">
      <c r="A220" s="11" t="s">
        <v>254</v>
      </c>
      <c r="B220" s="4" t="s">
        <v>5</v>
      </c>
      <c r="C220" s="4" t="s">
        <v>5</v>
      </c>
      <c r="D220" s="4" t="s">
        <v>5</v>
      </c>
      <c r="E220" s="16" t="s">
        <v>5</v>
      </c>
      <c r="F220" s="16" t="s">
        <v>5</v>
      </c>
      <c r="G220" s="4" t="s">
        <v>5</v>
      </c>
      <c r="H220" s="10"/>
    </row>
    <row r="221" spans="1:8">
      <c r="A221" s="22" t="s">
        <v>255</v>
      </c>
      <c r="B221" s="23"/>
      <c r="C221" s="23"/>
      <c r="D221" s="23"/>
      <c r="E221" s="23"/>
      <c r="F221" s="23"/>
      <c r="G221" s="23"/>
      <c r="H221" s="10"/>
    </row>
    <row r="222" spans="1:8">
      <c r="A222" s="11" t="s">
        <v>192</v>
      </c>
      <c r="B222" s="4" t="s">
        <v>5</v>
      </c>
      <c r="C222" s="4" t="s">
        <v>5</v>
      </c>
      <c r="D222" s="4" t="s">
        <v>5</v>
      </c>
      <c r="E222" s="16" t="s">
        <v>5</v>
      </c>
      <c r="F222" s="16" t="s">
        <v>5</v>
      </c>
      <c r="G222" s="4" t="s">
        <v>5</v>
      </c>
      <c r="H222" s="10"/>
    </row>
    <row r="223" spans="1:8">
      <c r="A223" s="11" t="s">
        <v>256</v>
      </c>
      <c r="B223" s="4" t="s">
        <v>5</v>
      </c>
      <c r="C223" s="4" t="s">
        <v>5</v>
      </c>
      <c r="D223" s="4" t="s">
        <v>5</v>
      </c>
      <c r="E223" s="16" t="s">
        <v>5</v>
      </c>
      <c r="F223" s="16" t="s">
        <v>5</v>
      </c>
      <c r="G223" s="4" t="s">
        <v>5</v>
      </c>
      <c r="H223" s="10"/>
    </row>
    <row r="224" spans="1:8">
      <c r="A224" s="22" t="s">
        <v>257</v>
      </c>
      <c r="B224" s="23"/>
      <c r="C224" s="23"/>
      <c r="D224" s="23"/>
      <c r="E224" s="23"/>
      <c r="F224" s="23"/>
      <c r="G224" s="23"/>
      <c r="H224" s="10"/>
    </row>
    <row r="225" spans="1:8">
      <c r="A225" s="11" t="s">
        <v>212</v>
      </c>
      <c r="B225" s="4" t="s">
        <v>5</v>
      </c>
      <c r="C225" s="8"/>
      <c r="D225" s="8"/>
      <c r="E225" s="16" t="s">
        <v>5</v>
      </c>
      <c r="F225" s="8"/>
      <c r="G225" s="8"/>
      <c r="H225" s="10"/>
    </row>
    <row r="226" spans="1:8">
      <c r="A226" s="11" t="s">
        <v>258</v>
      </c>
      <c r="B226" s="4" t="s">
        <v>5</v>
      </c>
      <c r="C226" s="8"/>
      <c r="D226" s="8"/>
      <c r="E226" s="16" t="s">
        <v>5</v>
      </c>
      <c r="F226" s="8"/>
      <c r="G226" s="8"/>
      <c r="H226" s="10"/>
    </row>
    <row r="227" spans="1:8">
      <c r="A227" s="11" t="s">
        <v>259</v>
      </c>
      <c r="B227" s="4" t="s">
        <v>5</v>
      </c>
      <c r="C227" s="8"/>
      <c r="D227" s="8"/>
      <c r="E227" s="16" t="s">
        <v>5</v>
      </c>
      <c r="F227" s="8"/>
      <c r="G227" s="8"/>
      <c r="H227" s="10"/>
    </row>
    <row r="228" spans="1:8">
      <c r="A228" s="22" t="s">
        <v>260</v>
      </c>
      <c r="B228" s="23"/>
      <c r="C228" s="23"/>
      <c r="D228" s="23"/>
      <c r="E228" s="23"/>
      <c r="F228" s="23"/>
      <c r="G228" s="23"/>
      <c r="H228" s="10"/>
    </row>
    <row r="229" spans="1:8">
      <c r="A229" s="11" t="s">
        <v>213</v>
      </c>
      <c r="B229" s="4" t="s">
        <v>5</v>
      </c>
      <c r="C229" s="8"/>
      <c r="D229" s="8"/>
      <c r="E229" s="16" t="s">
        <v>5</v>
      </c>
      <c r="F229" s="8"/>
      <c r="G229" s="8"/>
      <c r="H229" s="10"/>
    </row>
    <row r="230" spans="1:8">
      <c r="A230" s="11" t="s">
        <v>261</v>
      </c>
      <c r="B230" s="4" t="s">
        <v>5</v>
      </c>
      <c r="C230" s="8"/>
      <c r="D230" s="8"/>
      <c r="E230" s="16" t="s">
        <v>5</v>
      </c>
      <c r="F230" s="8"/>
      <c r="G230" s="8"/>
      <c r="H230" s="10"/>
    </row>
    <row r="231" spans="1:8">
      <c r="A231" s="11" t="s">
        <v>262</v>
      </c>
      <c r="B231" s="4" t="s">
        <v>5</v>
      </c>
      <c r="C231" s="8"/>
      <c r="D231" s="8"/>
      <c r="E231" s="16" t="s">
        <v>5</v>
      </c>
      <c r="F231" s="8"/>
      <c r="G231" s="8"/>
      <c r="H231" s="10"/>
    </row>
    <row r="232" spans="1:8">
      <c r="A232" s="22" t="s">
        <v>263</v>
      </c>
      <c r="B232" s="23"/>
      <c r="C232" s="23"/>
      <c r="D232" s="23"/>
      <c r="E232" s="23"/>
      <c r="F232" s="23"/>
      <c r="G232" s="23"/>
      <c r="H232" s="10"/>
    </row>
    <row r="233" spans="1:8">
      <c r="A233" s="11" t="s">
        <v>214</v>
      </c>
      <c r="B233" s="4" t="s">
        <v>5</v>
      </c>
      <c r="C233" s="8"/>
      <c r="D233" s="8"/>
      <c r="E233" s="16" t="s">
        <v>5</v>
      </c>
      <c r="F233" s="8"/>
      <c r="G233" s="8"/>
      <c r="H233" s="10"/>
    </row>
    <row r="234" spans="1:8">
      <c r="A234" s="11" t="s">
        <v>264</v>
      </c>
      <c r="B234" s="4" t="s">
        <v>5</v>
      </c>
      <c r="C234" s="8"/>
      <c r="D234" s="8"/>
      <c r="E234" s="16" t="s">
        <v>5</v>
      </c>
      <c r="F234" s="8"/>
      <c r="G234" s="8"/>
      <c r="H234" s="10"/>
    </row>
    <row r="235" spans="1:8">
      <c r="A235" s="11" t="s">
        <v>265</v>
      </c>
      <c r="B235" s="4" t="s">
        <v>5</v>
      </c>
      <c r="C235" s="8"/>
      <c r="D235" s="8"/>
      <c r="E235" s="16" t="s">
        <v>5</v>
      </c>
      <c r="F235" s="8"/>
      <c r="G235" s="8"/>
      <c r="H235" s="10"/>
    </row>
    <row r="236" spans="1:8">
      <c r="A236" s="22" t="s">
        <v>266</v>
      </c>
      <c r="B236" s="23"/>
      <c r="C236" s="23"/>
      <c r="D236" s="23"/>
      <c r="E236" s="23"/>
      <c r="F236" s="23"/>
      <c r="G236" s="23"/>
      <c r="H236" s="10"/>
    </row>
    <row r="237" spans="1:8">
      <c r="A237" s="11" t="s">
        <v>215</v>
      </c>
      <c r="B237" s="4" t="s">
        <v>5</v>
      </c>
      <c r="C237" s="8"/>
      <c r="D237" s="8"/>
      <c r="E237" s="16" t="s">
        <v>5</v>
      </c>
      <c r="F237" s="8"/>
      <c r="G237" s="8"/>
      <c r="H237" s="10"/>
    </row>
    <row r="238" spans="1:8">
      <c r="A238" s="11" t="s">
        <v>267</v>
      </c>
      <c r="B238" s="4" t="s">
        <v>5</v>
      </c>
      <c r="C238" s="8"/>
      <c r="D238" s="8"/>
      <c r="E238" s="16" t="s">
        <v>5</v>
      </c>
      <c r="F238" s="8"/>
      <c r="G238" s="8"/>
      <c r="H238" s="10"/>
    </row>
    <row r="239" spans="1:8">
      <c r="A239" s="11" t="s">
        <v>268</v>
      </c>
      <c r="B239" s="4" t="s">
        <v>5</v>
      </c>
      <c r="C239" s="8"/>
      <c r="D239" s="8"/>
      <c r="E239" s="16" t="s">
        <v>5</v>
      </c>
      <c r="F239" s="8"/>
      <c r="G239" s="8"/>
      <c r="H239" s="10"/>
    </row>
    <row r="240" spans="1:8">
      <c r="A240" s="22" t="s">
        <v>269</v>
      </c>
      <c r="B240" s="23"/>
      <c r="C240" s="23"/>
      <c r="D240" s="23"/>
      <c r="E240" s="23"/>
      <c r="F240" s="23"/>
      <c r="G240" s="23"/>
      <c r="H240" s="10"/>
    </row>
    <row r="241" spans="1:8">
      <c r="A241" s="11" t="s">
        <v>216</v>
      </c>
      <c r="B241" s="4" t="s">
        <v>5</v>
      </c>
      <c r="C241" s="4" t="s">
        <v>5</v>
      </c>
      <c r="D241" s="4" t="s">
        <v>5</v>
      </c>
      <c r="E241" s="16" t="s">
        <v>5</v>
      </c>
      <c r="F241" s="8"/>
      <c r="G241" s="8"/>
      <c r="H241" s="10"/>
    </row>
    <row r="242" spans="1:8">
      <c r="A242" s="11" t="s">
        <v>270</v>
      </c>
      <c r="B242" s="4" t="s">
        <v>5</v>
      </c>
      <c r="C242" s="4" t="s">
        <v>5</v>
      </c>
      <c r="D242" s="4" t="s">
        <v>5</v>
      </c>
      <c r="E242" s="16" t="s">
        <v>5</v>
      </c>
      <c r="F242" s="8"/>
      <c r="G242" s="8"/>
      <c r="H242" s="10"/>
    </row>
    <row r="243" spans="1:8">
      <c r="A243" s="11" t="s">
        <v>271</v>
      </c>
      <c r="B243" s="4" t="s">
        <v>5</v>
      </c>
      <c r="C243" s="4" t="s">
        <v>5</v>
      </c>
      <c r="D243" s="4" t="s">
        <v>5</v>
      </c>
      <c r="E243" s="16" t="s">
        <v>5</v>
      </c>
      <c r="F243" s="8"/>
      <c r="G243" s="8"/>
      <c r="H243" s="10"/>
    </row>
    <row r="244" spans="1:8">
      <c r="A244" s="22" t="s">
        <v>272</v>
      </c>
      <c r="B244" s="23"/>
      <c r="C244" s="23"/>
      <c r="D244" s="23"/>
      <c r="E244" s="23"/>
      <c r="F244" s="23"/>
      <c r="G244" s="23"/>
      <c r="H244" s="10"/>
    </row>
    <row r="245" spans="1:8">
      <c r="A245" s="11" t="s">
        <v>180</v>
      </c>
      <c r="B245" s="4" t="s">
        <v>5</v>
      </c>
      <c r="C245" s="8"/>
      <c r="D245" s="8"/>
      <c r="E245" s="16" t="s">
        <v>5</v>
      </c>
      <c r="F245" s="8"/>
      <c r="G245" s="8"/>
      <c r="H245" s="10"/>
    </row>
    <row r="246" spans="1:8">
      <c r="A246" s="11" t="s">
        <v>273</v>
      </c>
      <c r="B246" s="4" t="s">
        <v>5</v>
      </c>
      <c r="C246" s="8"/>
      <c r="D246" s="8"/>
      <c r="E246" s="16" t="s">
        <v>5</v>
      </c>
      <c r="F246" s="8"/>
      <c r="G246" s="8"/>
      <c r="H246" s="10"/>
    </row>
    <row r="247" spans="1:8">
      <c r="A247" s="11" t="s">
        <v>274</v>
      </c>
      <c r="B247" s="4" t="s">
        <v>5</v>
      </c>
      <c r="C247" s="8"/>
      <c r="D247" s="8"/>
      <c r="E247" s="16" t="s">
        <v>5</v>
      </c>
      <c r="F247" s="8"/>
      <c r="G247" s="8"/>
      <c r="H247" s="10"/>
    </row>
    <row r="248" spans="1:8">
      <c r="A248" s="22" t="s">
        <v>275</v>
      </c>
      <c r="B248" s="23"/>
      <c r="C248" s="23"/>
      <c r="D248" s="23"/>
      <c r="E248" s="23"/>
      <c r="F248" s="23"/>
      <c r="G248" s="23"/>
      <c r="H248" s="10"/>
    </row>
    <row r="249" spans="1:8">
      <c r="A249" s="11" t="s">
        <v>181</v>
      </c>
      <c r="B249" s="4" t="s">
        <v>5</v>
      </c>
      <c r="C249" s="8"/>
      <c r="D249" s="8"/>
      <c r="E249" s="16" t="s">
        <v>5</v>
      </c>
      <c r="F249" s="8"/>
      <c r="G249" s="8"/>
      <c r="H249" s="10"/>
    </row>
    <row r="250" spans="1:8">
      <c r="A250" s="11" t="s">
        <v>276</v>
      </c>
      <c r="B250" s="4" t="s">
        <v>5</v>
      </c>
      <c r="C250" s="8"/>
      <c r="D250" s="8"/>
      <c r="E250" s="16" t="s">
        <v>5</v>
      </c>
      <c r="F250" s="8"/>
      <c r="G250" s="8"/>
      <c r="H250" s="10"/>
    </row>
    <row r="251" spans="1:8">
      <c r="A251" s="22" t="s">
        <v>277</v>
      </c>
      <c r="B251" s="23"/>
      <c r="C251" s="23"/>
      <c r="D251" s="23"/>
      <c r="E251" s="23"/>
      <c r="F251" s="23"/>
      <c r="G251" s="23"/>
      <c r="H251" s="10"/>
    </row>
    <row r="252" spans="1:8">
      <c r="A252" s="11" t="s">
        <v>182</v>
      </c>
      <c r="B252" s="4" t="s">
        <v>5</v>
      </c>
      <c r="C252" s="8"/>
      <c r="D252" s="8"/>
      <c r="E252" s="16" t="s">
        <v>5</v>
      </c>
      <c r="F252" s="8"/>
      <c r="G252" s="4" t="s">
        <v>5</v>
      </c>
      <c r="H252" s="10"/>
    </row>
    <row r="253" spans="1:8">
      <c r="A253" s="11" t="s">
        <v>278</v>
      </c>
      <c r="B253" s="4" t="s">
        <v>5</v>
      </c>
      <c r="C253" s="8"/>
      <c r="D253" s="8"/>
      <c r="E253" s="16" t="s">
        <v>5</v>
      </c>
      <c r="F253" s="8"/>
      <c r="G253" s="4" t="s">
        <v>5</v>
      </c>
      <c r="H253" s="10"/>
    </row>
    <row r="254" spans="1:8">
      <c r="A254" s="11" t="s">
        <v>279</v>
      </c>
      <c r="B254" s="4" t="s">
        <v>5</v>
      </c>
      <c r="C254" s="8"/>
      <c r="D254" s="8"/>
      <c r="E254" s="16" t="s">
        <v>5</v>
      </c>
      <c r="F254" s="8"/>
      <c r="G254" s="4" t="s">
        <v>5</v>
      </c>
      <c r="H254" s="10"/>
    </row>
    <row r="255" spans="1:8">
      <c r="A255" s="22" t="s">
        <v>280</v>
      </c>
      <c r="B255" s="23"/>
      <c r="C255" s="23"/>
      <c r="D255" s="23"/>
      <c r="E255" s="23"/>
      <c r="F255" s="23"/>
      <c r="G255" s="23"/>
      <c r="H255" s="10"/>
    </row>
    <row r="256" spans="1:8">
      <c r="A256" s="11" t="s">
        <v>183</v>
      </c>
      <c r="B256" s="4" t="s">
        <v>5</v>
      </c>
      <c r="C256" s="4" t="s">
        <v>5</v>
      </c>
      <c r="D256" s="4" t="s">
        <v>5</v>
      </c>
      <c r="E256" s="16" t="s">
        <v>5</v>
      </c>
      <c r="F256" s="8"/>
      <c r="G256" s="4" t="s">
        <v>5</v>
      </c>
      <c r="H256" s="10"/>
    </row>
    <row r="257" spans="1:8">
      <c r="A257" s="11" t="s">
        <v>281</v>
      </c>
      <c r="B257" s="4" t="s">
        <v>5</v>
      </c>
      <c r="C257" s="4" t="s">
        <v>5</v>
      </c>
      <c r="D257" s="4" t="s">
        <v>5</v>
      </c>
      <c r="E257" s="16" t="s">
        <v>5</v>
      </c>
      <c r="F257" s="8"/>
      <c r="G257" s="4" t="s">
        <v>5</v>
      </c>
      <c r="H257" s="10"/>
    </row>
    <row r="258" spans="1:8">
      <c r="A258" s="11" t="s">
        <v>282</v>
      </c>
      <c r="B258" s="4" t="s">
        <v>5</v>
      </c>
      <c r="C258" s="4" t="s">
        <v>5</v>
      </c>
      <c r="D258" s="4" t="s">
        <v>5</v>
      </c>
      <c r="E258" s="16" t="s">
        <v>5</v>
      </c>
      <c r="F258" s="8"/>
      <c r="G258" s="4" t="s">
        <v>5</v>
      </c>
      <c r="H258" s="10"/>
    </row>
    <row r="259" spans="1:8">
      <c r="A259" s="22" t="s">
        <v>283</v>
      </c>
      <c r="B259" s="23"/>
      <c r="C259" s="23"/>
      <c r="D259" s="23"/>
      <c r="E259" s="23"/>
      <c r="F259" s="23"/>
      <c r="G259" s="23"/>
      <c r="H259" s="10"/>
    </row>
    <row r="260" spans="1:8">
      <c r="A260" s="11" t="s">
        <v>184</v>
      </c>
      <c r="B260" s="4" t="s">
        <v>5</v>
      </c>
      <c r="C260" s="8"/>
      <c r="D260" s="8"/>
      <c r="E260" s="16" t="s">
        <v>5</v>
      </c>
      <c r="F260" s="8"/>
      <c r="G260" s="4" t="s">
        <v>5</v>
      </c>
      <c r="H260" s="10"/>
    </row>
    <row r="261" spans="1:8">
      <c r="A261" s="11" t="s">
        <v>284</v>
      </c>
      <c r="B261" s="4" t="s">
        <v>5</v>
      </c>
      <c r="C261" s="8"/>
      <c r="D261" s="8"/>
      <c r="E261" s="16" t="s">
        <v>5</v>
      </c>
      <c r="F261" s="8"/>
      <c r="G261" s="4" t="s">
        <v>5</v>
      </c>
      <c r="H261" s="10"/>
    </row>
    <row r="262" spans="1:8">
      <c r="A262" s="22" t="s">
        <v>285</v>
      </c>
      <c r="B262" s="23"/>
      <c r="C262" s="23"/>
      <c r="D262" s="23"/>
      <c r="E262" s="23"/>
      <c r="F262" s="23"/>
      <c r="G262" s="23"/>
      <c r="H262" s="10"/>
    </row>
    <row r="263" spans="1:8">
      <c r="A263" s="11" t="s">
        <v>185</v>
      </c>
      <c r="B263" s="4" t="s">
        <v>5</v>
      </c>
      <c r="C263" s="4" t="s">
        <v>5</v>
      </c>
      <c r="D263" s="4" t="s">
        <v>5</v>
      </c>
      <c r="E263" s="16" t="s">
        <v>5</v>
      </c>
      <c r="F263" s="8"/>
      <c r="G263" s="4" t="s">
        <v>5</v>
      </c>
      <c r="H263" s="10"/>
    </row>
    <row r="264" spans="1:8">
      <c r="A264" s="11" t="s">
        <v>286</v>
      </c>
      <c r="B264" s="4" t="s">
        <v>5</v>
      </c>
      <c r="C264" s="4" t="s">
        <v>5</v>
      </c>
      <c r="D264" s="4" t="s">
        <v>5</v>
      </c>
      <c r="E264" s="16" t="s">
        <v>5</v>
      </c>
      <c r="F264" s="8"/>
      <c r="G264" s="4" t="s">
        <v>5</v>
      </c>
      <c r="H264" s="10"/>
    </row>
    <row r="265" spans="1:8">
      <c r="A265" s="22" t="s">
        <v>287</v>
      </c>
      <c r="B265" s="23"/>
      <c r="C265" s="23"/>
      <c r="D265" s="23"/>
      <c r="E265" s="23"/>
      <c r="F265" s="23"/>
      <c r="G265" s="23"/>
      <c r="H265" s="10"/>
    </row>
    <row r="266" spans="1:8">
      <c r="A266" s="11" t="s">
        <v>193</v>
      </c>
      <c r="B266" s="4" t="s">
        <v>5</v>
      </c>
      <c r="C266" s="8"/>
      <c r="D266" s="8"/>
      <c r="E266" s="16" t="s">
        <v>5</v>
      </c>
      <c r="F266" s="8"/>
      <c r="G266" s="4" t="s">
        <v>5</v>
      </c>
      <c r="H266" s="10"/>
    </row>
    <row r="267" spans="1:8">
      <c r="A267" s="11" t="s">
        <v>288</v>
      </c>
      <c r="B267" s="4" t="s">
        <v>5</v>
      </c>
      <c r="C267" s="8"/>
      <c r="D267" s="8"/>
      <c r="E267" s="16" t="s">
        <v>5</v>
      </c>
      <c r="F267" s="8"/>
      <c r="G267" s="4" t="s">
        <v>5</v>
      </c>
      <c r="H267" s="10"/>
    </row>
    <row r="268" spans="1:8">
      <c r="A268" s="22" t="s">
        <v>289</v>
      </c>
      <c r="B268" s="23"/>
      <c r="C268" s="23"/>
      <c r="D268" s="23"/>
      <c r="E268" s="23"/>
      <c r="F268" s="23"/>
      <c r="G268" s="23"/>
      <c r="H268" s="10"/>
    </row>
    <row r="269" spans="1:8">
      <c r="A269" s="11" t="s">
        <v>194</v>
      </c>
      <c r="B269" s="4" t="s">
        <v>5</v>
      </c>
      <c r="C269" s="4" t="s">
        <v>5</v>
      </c>
      <c r="D269" s="4" t="s">
        <v>5</v>
      </c>
      <c r="E269" s="16" t="s">
        <v>5</v>
      </c>
      <c r="F269" s="8"/>
      <c r="G269" s="4" t="s">
        <v>5</v>
      </c>
      <c r="H269" s="10"/>
    </row>
    <row r="270" spans="1:8">
      <c r="A270" s="11" t="s">
        <v>290</v>
      </c>
      <c r="B270" s="4" t="s">
        <v>5</v>
      </c>
      <c r="C270" s="4" t="s">
        <v>5</v>
      </c>
      <c r="D270" s="4" t="s">
        <v>5</v>
      </c>
      <c r="E270" s="16" t="s">
        <v>5</v>
      </c>
      <c r="F270" s="8"/>
      <c r="G270" s="4" t="s">
        <v>5</v>
      </c>
      <c r="H270" s="10"/>
    </row>
    <row r="272" spans="1:8">
      <c r="A272" s="1" t="s">
        <v>291</v>
      </c>
    </row>
    <row r="273" spans="1:9">
      <c r="A273" s="2" t="s">
        <v>218</v>
      </c>
    </row>
    <row r="275" spans="1:9">
      <c r="B275" s="3" t="s">
        <v>292</v>
      </c>
    </row>
    <row r="276" spans="1:9">
      <c r="A276" s="11" t="s">
        <v>293</v>
      </c>
      <c r="B276" s="16" t="s">
        <v>5</v>
      </c>
      <c r="C276" s="10"/>
    </row>
    <row r="278" spans="1:9">
      <c r="A278" s="1" t="s">
        <v>294</v>
      </c>
    </row>
    <row r="280" spans="1:9">
      <c r="B280" s="3" t="s">
        <v>295</v>
      </c>
      <c r="C280" s="3" t="s">
        <v>296</v>
      </c>
      <c r="D280" s="3" t="s">
        <v>297</v>
      </c>
      <c r="E280" s="3" t="s">
        <v>298</v>
      </c>
    </row>
    <row r="281" spans="1:9">
      <c r="A281" s="11" t="s">
        <v>299</v>
      </c>
      <c r="B281" s="16" t="s">
        <v>5</v>
      </c>
      <c r="C281" s="16" t="s">
        <v>5</v>
      </c>
      <c r="D281" s="21" t="s">
        <v>5</v>
      </c>
      <c r="E281" s="16" t="s">
        <v>5</v>
      </c>
      <c r="F281" s="10"/>
    </row>
    <row r="283" spans="1:9">
      <c r="A283" s="1" t="s">
        <v>300</v>
      </c>
    </row>
    <row r="284" spans="1:9">
      <c r="A284" s="2" t="s">
        <v>301</v>
      </c>
    </row>
    <row r="285" spans="1:9">
      <c r="A285" s="2" t="s">
        <v>302</v>
      </c>
    </row>
    <row r="286" spans="1:9">
      <c r="A286" s="2" t="s">
        <v>303</v>
      </c>
    </row>
    <row r="288" spans="1:9">
      <c r="B288" s="3" t="s">
        <v>304</v>
      </c>
      <c r="C288" s="3" t="s">
        <v>305</v>
      </c>
      <c r="D288" s="3" t="s">
        <v>306</v>
      </c>
      <c r="E288" s="3" t="s">
        <v>307</v>
      </c>
      <c r="F288" s="3" t="s">
        <v>308</v>
      </c>
      <c r="G288" s="3" t="s">
        <v>309</v>
      </c>
      <c r="H288" s="3" t="s">
        <v>310</v>
      </c>
      <c r="I288" s="3" t="s">
        <v>311</v>
      </c>
    </row>
    <row r="289" spans="1:10">
      <c r="A289" s="11" t="s">
        <v>312</v>
      </c>
      <c r="B289" s="21" t="s">
        <v>5</v>
      </c>
      <c r="C289" s="21" t="s">
        <v>5</v>
      </c>
      <c r="D289" s="21" t="s">
        <v>5</v>
      </c>
      <c r="E289" s="21" t="s">
        <v>5</v>
      </c>
      <c r="F289" s="21" t="s">
        <v>5</v>
      </c>
      <c r="G289" s="21" t="s">
        <v>5</v>
      </c>
      <c r="H289" s="21" t="s">
        <v>5</v>
      </c>
      <c r="I289" s="21" t="s">
        <v>5</v>
      </c>
      <c r="J289" s="10"/>
    </row>
    <row r="290" spans="1:10">
      <c r="A290" s="11" t="s">
        <v>313</v>
      </c>
      <c r="B290" s="21" t="s">
        <v>5</v>
      </c>
      <c r="C290" s="21" t="s">
        <v>5</v>
      </c>
      <c r="D290" s="21" t="s">
        <v>5</v>
      </c>
      <c r="E290" s="21" t="s">
        <v>5</v>
      </c>
      <c r="F290" s="21" t="s">
        <v>5</v>
      </c>
      <c r="G290" s="21" t="s">
        <v>5</v>
      </c>
      <c r="H290" s="21" t="s">
        <v>5</v>
      </c>
      <c r="I290" s="8"/>
      <c r="J290" s="10"/>
    </row>
    <row r="291" spans="1:10">
      <c r="A291" s="11" t="s">
        <v>314</v>
      </c>
      <c r="B291" s="21" t="s">
        <v>5</v>
      </c>
      <c r="C291" s="21" t="s">
        <v>5</v>
      </c>
      <c r="D291" s="21" t="s">
        <v>5</v>
      </c>
      <c r="E291" s="21" t="s">
        <v>5</v>
      </c>
      <c r="F291" s="21" t="s">
        <v>5</v>
      </c>
      <c r="G291" s="21" t="s">
        <v>5</v>
      </c>
      <c r="H291" s="8"/>
      <c r="I291" s="8"/>
      <c r="J291" s="10"/>
    </row>
    <row r="292" spans="1:10">
      <c r="A292" s="11" t="s">
        <v>315</v>
      </c>
      <c r="B292" s="21" t="s">
        <v>5</v>
      </c>
      <c r="C292" s="21" t="s">
        <v>5</v>
      </c>
      <c r="D292" s="21" t="s">
        <v>5</v>
      </c>
      <c r="E292" s="21" t="s">
        <v>5</v>
      </c>
      <c r="F292" s="8"/>
      <c r="G292" s="8"/>
      <c r="H292" s="8"/>
      <c r="I292" s="8"/>
      <c r="J292" s="10"/>
    </row>
    <row r="294" spans="1:10">
      <c r="A294" s="1" t="s">
        <v>316</v>
      </c>
    </row>
    <row r="296" spans="1:10">
      <c r="B296" s="3" t="s">
        <v>317</v>
      </c>
      <c r="C296" s="3" t="s">
        <v>318</v>
      </c>
      <c r="D296" s="3" t="s">
        <v>319</v>
      </c>
    </row>
    <row r="297" spans="1:10">
      <c r="A297" s="11" t="s">
        <v>173</v>
      </c>
      <c r="B297" s="21" t="s">
        <v>5</v>
      </c>
      <c r="C297" s="21" t="s">
        <v>5</v>
      </c>
      <c r="D297" s="21" t="s">
        <v>5</v>
      </c>
      <c r="E297" s="10"/>
    </row>
    <row r="298" spans="1:10">
      <c r="A298" s="11" t="s">
        <v>210</v>
      </c>
      <c r="B298" s="21" t="s">
        <v>5</v>
      </c>
      <c r="C298" s="21" t="s">
        <v>5</v>
      </c>
      <c r="D298" s="21" t="s">
        <v>5</v>
      </c>
      <c r="E298" s="10"/>
    </row>
    <row r="299" spans="1:10">
      <c r="A299" s="11" t="s">
        <v>175</v>
      </c>
      <c r="B299" s="21" t="s">
        <v>5</v>
      </c>
      <c r="C299" s="21" t="s">
        <v>5</v>
      </c>
      <c r="D299" s="21" t="s">
        <v>5</v>
      </c>
      <c r="E299" s="10"/>
    </row>
    <row r="300" spans="1:10">
      <c r="A300" s="11" t="s">
        <v>211</v>
      </c>
      <c r="B300" s="21" t="s">
        <v>5</v>
      </c>
      <c r="C300" s="21" t="s">
        <v>5</v>
      </c>
      <c r="D300" s="21" t="s">
        <v>5</v>
      </c>
      <c r="E300" s="10"/>
    </row>
    <row r="301" spans="1:10">
      <c r="A301" s="11" t="s">
        <v>176</v>
      </c>
      <c r="B301" s="21" t="s">
        <v>5</v>
      </c>
      <c r="C301" s="21" t="s">
        <v>5</v>
      </c>
      <c r="D301" s="21" t="s">
        <v>5</v>
      </c>
      <c r="E301" s="10"/>
    </row>
    <row r="302" spans="1:10">
      <c r="A302" s="11" t="s">
        <v>177</v>
      </c>
      <c r="B302" s="21" t="s">
        <v>5</v>
      </c>
      <c r="C302" s="21" t="s">
        <v>5</v>
      </c>
      <c r="D302" s="21" t="s">
        <v>5</v>
      </c>
      <c r="E302" s="10"/>
    </row>
    <row r="303" spans="1:10">
      <c r="A303" s="11" t="s">
        <v>191</v>
      </c>
      <c r="B303" s="21" t="s">
        <v>5</v>
      </c>
      <c r="C303" s="21" t="s">
        <v>5</v>
      </c>
      <c r="D303" s="21" t="s">
        <v>5</v>
      </c>
      <c r="E303" s="10"/>
    </row>
    <row r="305" spans="1:5">
      <c r="A305" s="1" t="s">
        <v>320</v>
      </c>
    </row>
    <row r="307" spans="1:5">
      <c r="B307" s="3" t="s">
        <v>317</v>
      </c>
      <c r="C307" s="3" t="s">
        <v>318</v>
      </c>
      <c r="D307" s="3" t="s">
        <v>319</v>
      </c>
    </row>
    <row r="308" spans="1:5">
      <c r="A308" s="11" t="s">
        <v>173</v>
      </c>
      <c r="B308" s="21" t="s">
        <v>5</v>
      </c>
      <c r="C308" s="21" t="s">
        <v>5</v>
      </c>
      <c r="D308" s="21" t="s">
        <v>5</v>
      </c>
      <c r="E308" s="10"/>
    </row>
    <row r="309" spans="1:5">
      <c r="A309" s="11" t="s">
        <v>175</v>
      </c>
      <c r="B309" s="21" t="s">
        <v>5</v>
      </c>
      <c r="C309" s="21" t="s">
        <v>5</v>
      </c>
      <c r="D309" s="21" t="s">
        <v>5</v>
      </c>
      <c r="E309" s="10"/>
    </row>
    <row r="310" spans="1:5">
      <c r="A310" s="11" t="s">
        <v>176</v>
      </c>
      <c r="B310" s="21" t="s">
        <v>5</v>
      </c>
      <c r="C310" s="21" t="s">
        <v>5</v>
      </c>
      <c r="D310" s="21" t="s">
        <v>5</v>
      </c>
      <c r="E310" s="10"/>
    </row>
    <row r="311" spans="1:5">
      <c r="A311" s="11" t="s">
        <v>177</v>
      </c>
      <c r="B311" s="21" t="s">
        <v>5</v>
      </c>
      <c r="C311" s="21" t="s">
        <v>5</v>
      </c>
      <c r="D311" s="21" t="s">
        <v>5</v>
      </c>
      <c r="E311" s="10"/>
    </row>
    <row r="312" spans="1:5">
      <c r="A312" s="11" t="s">
        <v>191</v>
      </c>
      <c r="B312" s="21" t="s">
        <v>5</v>
      </c>
      <c r="C312" s="21" t="s">
        <v>5</v>
      </c>
      <c r="D312" s="21" t="s">
        <v>5</v>
      </c>
      <c r="E312" s="10"/>
    </row>
    <row r="314" spans="1:5">
      <c r="A314" s="1" t="s">
        <v>321</v>
      </c>
    </row>
    <row r="316" spans="1:5">
      <c r="B316" s="3" t="s">
        <v>322</v>
      </c>
      <c r="C316" s="3" t="s">
        <v>323</v>
      </c>
      <c r="D316" s="3" t="s">
        <v>319</v>
      </c>
    </row>
    <row r="317" spans="1:5">
      <c r="A317" s="11" t="s">
        <v>212</v>
      </c>
      <c r="B317" s="21" t="s">
        <v>5</v>
      </c>
      <c r="C317" s="21" t="s">
        <v>5</v>
      </c>
      <c r="D317" s="21" t="s">
        <v>5</v>
      </c>
      <c r="E317" s="10"/>
    </row>
    <row r="318" spans="1:5">
      <c r="A318" s="11" t="s">
        <v>213</v>
      </c>
      <c r="B318" s="21" t="s">
        <v>5</v>
      </c>
      <c r="C318" s="21" t="s">
        <v>5</v>
      </c>
      <c r="D318" s="21" t="s">
        <v>5</v>
      </c>
      <c r="E318" s="10"/>
    </row>
    <row r="319" spans="1:5">
      <c r="A319" s="11" t="s">
        <v>214</v>
      </c>
      <c r="B319" s="21" t="s">
        <v>5</v>
      </c>
      <c r="C319" s="21" t="s">
        <v>5</v>
      </c>
      <c r="D319" s="21" t="s">
        <v>5</v>
      </c>
      <c r="E319" s="10"/>
    </row>
    <row r="320" spans="1:5">
      <c r="A320" s="11" t="s">
        <v>215</v>
      </c>
      <c r="B320" s="21" t="s">
        <v>5</v>
      </c>
      <c r="C320" s="21" t="s">
        <v>5</v>
      </c>
      <c r="D320" s="21" t="s">
        <v>5</v>
      </c>
      <c r="E320" s="10"/>
    </row>
    <row r="322" spans="1:5">
      <c r="A322" s="1" t="s">
        <v>324</v>
      </c>
    </row>
    <row r="323" spans="1:5">
      <c r="A323" s="2" t="s">
        <v>325</v>
      </c>
    </row>
    <row r="324" spans="1:5">
      <c r="A324" s="2" t="s">
        <v>326</v>
      </c>
    </row>
    <row r="326" spans="1:5">
      <c r="B326" s="3" t="s">
        <v>322</v>
      </c>
      <c r="C326" s="3" t="s">
        <v>323</v>
      </c>
      <c r="D326" s="3" t="s">
        <v>319</v>
      </c>
    </row>
    <row r="327" spans="1:5">
      <c r="A327" s="11" t="s">
        <v>327</v>
      </c>
      <c r="B327" s="24" t="s">
        <v>5</v>
      </c>
      <c r="C327" s="24" t="s">
        <v>5</v>
      </c>
      <c r="D327" s="24" t="s">
        <v>5</v>
      </c>
      <c r="E327" s="10"/>
    </row>
    <row r="329" spans="1:5">
      <c r="A329" s="1" t="s">
        <v>328</v>
      </c>
    </row>
    <row r="330" spans="1:5">
      <c r="A330" s="2" t="s">
        <v>325</v>
      </c>
    </row>
    <row r="331" spans="1:5">
      <c r="A331" s="2" t="s">
        <v>326</v>
      </c>
    </row>
    <row r="333" spans="1:5">
      <c r="B333" s="3" t="s">
        <v>317</v>
      </c>
      <c r="C333" s="3" t="s">
        <v>318</v>
      </c>
      <c r="D333" s="3" t="s">
        <v>319</v>
      </c>
    </row>
    <row r="334" spans="1:5">
      <c r="A334" s="11" t="s">
        <v>327</v>
      </c>
      <c r="B334" s="24" t="s">
        <v>5</v>
      </c>
      <c r="C334" s="24" t="s">
        <v>5</v>
      </c>
      <c r="D334" s="24" t="s">
        <v>5</v>
      </c>
      <c r="E334" s="10"/>
    </row>
    <row r="336" spans="1:5">
      <c r="A336" s="1" t="s">
        <v>329</v>
      </c>
    </row>
    <row r="337" spans="1:6">
      <c r="A337" s="2" t="s">
        <v>330</v>
      </c>
    </row>
    <row r="339" spans="1:6">
      <c r="B339" s="25" t="s">
        <v>331</v>
      </c>
      <c r="C339" s="25"/>
      <c r="D339" s="25"/>
    </row>
    <row r="340" spans="1:6">
      <c r="B340" s="3" t="s">
        <v>317</v>
      </c>
      <c r="C340" s="3" t="s">
        <v>318</v>
      </c>
      <c r="D340" s="3" t="s">
        <v>319</v>
      </c>
      <c r="E340" s="3" t="s">
        <v>332</v>
      </c>
    </row>
    <row r="341" spans="1:6">
      <c r="A341" s="11" t="s">
        <v>140</v>
      </c>
      <c r="B341" s="21" t="s">
        <v>5</v>
      </c>
      <c r="C341" s="21" t="s">
        <v>5</v>
      </c>
      <c r="D341" s="21" t="s">
        <v>5</v>
      </c>
      <c r="E341" s="21" t="s">
        <v>5</v>
      </c>
      <c r="F341" s="10"/>
    </row>
    <row r="342" spans="1:6">
      <c r="A342" s="11" t="s">
        <v>141</v>
      </c>
      <c r="B342" s="21" t="s">
        <v>5</v>
      </c>
      <c r="C342" s="21" t="s">
        <v>5</v>
      </c>
      <c r="D342" s="21" t="s">
        <v>5</v>
      </c>
      <c r="E342" s="21" t="s">
        <v>5</v>
      </c>
      <c r="F342" s="10"/>
    </row>
    <row r="343" spans="1:6">
      <c r="A343" s="11" t="s">
        <v>142</v>
      </c>
      <c r="B343" s="21" t="s">
        <v>5</v>
      </c>
      <c r="C343" s="21" t="s">
        <v>5</v>
      </c>
      <c r="D343" s="21" t="s">
        <v>5</v>
      </c>
      <c r="E343" s="21" t="s">
        <v>5</v>
      </c>
      <c r="F343" s="10"/>
    </row>
    <row r="344" spans="1:6">
      <c r="A344" s="11" t="s">
        <v>143</v>
      </c>
      <c r="B344" s="21" t="s">
        <v>5</v>
      </c>
      <c r="C344" s="21" t="s">
        <v>5</v>
      </c>
      <c r="D344" s="21" t="s">
        <v>5</v>
      </c>
      <c r="E344" s="21" t="s">
        <v>5</v>
      </c>
      <c r="F344" s="10"/>
    </row>
    <row r="345" spans="1:6">
      <c r="A345" s="11" t="s">
        <v>144</v>
      </c>
      <c r="B345" s="21" t="s">
        <v>5</v>
      </c>
      <c r="C345" s="21" t="s">
        <v>5</v>
      </c>
      <c r="D345" s="21" t="s">
        <v>5</v>
      </c>
      <c r="E345" s="21" t="s">
        <v>5</v>
      </c>
      <c r="F345" s="10"/>
    </row>
    <row r="346" spans="1:6">
      <c r="A346" s="11" t="s">
        <v>149</v>
      </c>
      <c r="B346" s="21" t="s">
        <v>5</v>
      </c>
      <c r="C346" s="21" t="s">
        <v>5</v>
      </c>
      <c r="D346" s="21" t="s">
        <v>5</v>
      </c>
      <c r="E346" s="21" t="s">
        <v>5</v>
      </c>
      <c r="F346" s="10"/>
    </row>
    <row r="347" spans="1:6">
      <c r="A347" s="11" t="s">
        <v>145</v>
      </c>
      <c r="B347" s="21" t="s">
        <v>5</v>
      </c>
      <c r="C347" s="21" t="s">
        <v>5</v>
      </c>
      <c r="D347" s="21" t="s">
        <v>5</v>
      </c>
      <c r="E347" s="21" t="s">
        <v>5</v>
      </c>
      <c r="F347" s="10"/>
    </row>
    <row r="348" spans="1:6">
      <c r="A348" s="11" t="s">
        <v>146</v>
      </c>
      <c r="B348" s="21" t="s">
        <v>5</v>
      </c>
      <c r="C348" s="21" t="s">
        <v>5</v>
      </c>
      <c r="D348" s="21" t="s">
        <v>5</v>
      </c>
      <c r="E348" s="21" t="s">
        <v>5</v>
      </c>
      <c r="F348" s="10"/>
    </row>
    <row r="349" spans="1:6">
      <c r="A349" s="11" t="s">
        <v>147</v>
      </c>
      <c r="B349" s="21" t="s">
        <v>5</v>
      </c>
      <c r="C349" s="21" t="s">
        <v>5</v>
      </c>
      <c r="D349" s="21" t="s">
        <v>5</v>
      </c>
      <c r="E349" s="21" t="s">
        <v>5</v>
      </c>
      <c r="F349" s="10"/>
    </row>
    <row r="351" spans="1:6">
      <c r="A351" s="1" t="s">
        <v>333</v>
      </c>
    </row>
    <row r="352" spans="1:6">
      <c r="A352" s="2" t="s">
        <v>334</v>
      </c>
    </row>
    <row r="353" spans="1:11">
      <c r="A353" s="2" t="s">
        <v>335</v>
      </c>
    </row>
    <row r="355" spans="1:11">
      <c r="B355" s="3" t="s">
        <v>140</v>
      </c>
      <c r="C355" s="3" t="s">
        <v>141</v>
      </c>
      <c r="D355" s="3" t="s">
        <v>142</v>
      </c>
      <c r="E355" s="3" t="s">
        <v>143</v>
      </c>
      <c r="F355" s="3" t="s">
        <v>144</v>
      </c>
      <c r="G355" s="3" t="s">
        <v>149</v>
      </c>
      <c r="H355" s="3" t="s">
        <v>145</v>
      </c>
      <c r="I355" s="3" t="s">
        <v>146</v>
      </c>
      <c r="J355" s="3" t="s">
        <v>147</v>
      </c>
    </row>
    <row r="356" spans="1:11">
      <c r="A356" s="11" t="s">
        <v>336</v>
      </c>
      <c r="B356" s="4" t="s">
        <v>5</v>
      </c>
      <c r="C356" s="4" t="s">
        <v>5</v>
      </c>
      <c r="D356" s="4" t="s">
        <v>5</v>
      </c>
      <c r="E356" s="4" t="s">
        <v>5</v>
      </c>
      <c r="F356" s="4" t="s">
        <v>5</v>
      </c>
      <c r="G356" s="4" t="s">
        <v>5</v>
      </c>
      <c r="H356" s="4" t="s">
        <v>5</v>
      </c>
      <c r="I356" s="4" t="s">
        <v>5</v>
      </c>
      <c r="J356" s="4" t="s">
        <v>5</v>
      </c>
      <c r="K356" s="10"/>
    </row>
    <row r="358" spans="1:11">
      <c r="A358" s="1" t="s">
        <v>337</v>
      </c>
    </row>
    <row r="360" spans="1:11">
      <c r="B360" s="3" t="s">
        <v>338</v>
      </c>
      <c r="C360" s="3" t="s">
        <v>339</v>
      </c>
      <c r="D360" s="3" t="s">
        <v>340</v>
      </c>
      <c r="E360" s="3" t="s">
        <v>341</v>
      </c>
      <c r="F360" s="3" t="s">
        <v>342</v>
      </c>
      <c r="G360" s="3" t="s">
        <v>343</v>
      </c>
      <c r="H360" s="3" t="s">
        <v>344</v>
      </c>
    </row>
    <row r="361" spans="1:11">
      <c r="A361" s="11" t="s">
        <v>172</v>
      </c>
      <c r="B361" s="16" t="s">
        <v>5</v>
      </c>
      <c r="C361" s="4" t="s">
        <v>5</v>
      </c>
      <c r="D361" s="8"/>
      <c r="E361" s="8"/>
      <c r="F361" s="4" t="s">
        <v>5</v>
      </c>
      <c r="G361" s="8"/>
      <c r="H361" s="8"/>
      <c r="I361" s="10"/>
    </row>
    <row r="362" spans="1:11">
      <c r="A362" s="11" t="s">
        <v>173</v>
      </c>
      <c r="B362" s="16" t="s">
        <v>5</v>
      </c>
      <c r="C362" s="4" t="s">
        <v>5</v>
      </c>
      <c r="D362" s="4" t="s">
        <v>5</v>
      </c>
      <c r="E362" s="8"/>
      <c r="F362" s="4" t="s">
        <v>5</v>
      </c>
      <c r="G362" s="8"/>
      <c r="H362" s="8"/>
      <c r="I362" s="10"/>
    </row>
    <row r="363" spans="1:11">
      <c r="A363" s="11" t="s">
        <v>210</v>
      </c>
      <c r="B363" s="16" t="s">
        <v>5</v>
      </c>
      <c r="C363" s="4" t="s">
        <v>5</v>
      </c>
      <c r="D363" s="8"/>
      <c r="E363" s="8"/>
      <c r="F363" s="8"/>
      <c r="G363" s="8"/>
      <c r="H363" s="8"/>
      <c r="I363" s="10"/>
    </row>
    <row r="364" spans="1:11">
      <c r="A364" s="11" t="s">
        <v>174</v>
      </c>
      <c r="B364" s="16" t="s">
        <v>5</v>
      </c>
      <c r="C364" s="4" t="s">
        <v>5</v>
      </c>
      <c r="D364" s="8"/>
      <c r="E364" s="8"/>
      <c r="F364" s="4" t="s">
        <v>5</v>
      </c>
      <c r="G364" s="8"/>
      <c r="H364" s="8"/>
      <c r="I364" s="10"/>
    </row>
    <row r="365" spans="1:11">
      <c r="A365" s="11" t="s">
        <v>175</v>
      </c>
      <c r="B365" s="16" t="s">
        <v>5</v>
      </c>
      <c r="C365" s="4" t="s">
        <v>5</v>
      </c>
      <c r="D365" s="4" t="s">
        <v>5</v>
      </c>
      <c r="E365" s="8"/>
      <c r="F365" s="4" t="s">
        <v>5</v>
      </c>
      <c r="G365" s="8"/>
      <c r="H365" s="8"/>
      <c r="I365" s="10"/>
    </row>
    <row r="366" spans="1:11">
      <c r="A366" s="11" t="s">
        <v>211</v>
      </c>
      <c r="B366" s="16" t="s">
        <v>5</v>
      </c>
      <c r="C366" s="4" t="s">
        <v>5</v>
      </c>
      <c r="D366" s="8"/>
      <c r="E366" s="8"/>
      <c r="F366" s="8"/>
      <c r="G366" s="8"/>
      <c r="H366" s="8"/>
      <c r="I366" s="10"/>
    </row>
    <row r="367" spans="1:11">
      <c r="A367" s="11" t="s">
        <v>176</v>
      </c>
      <c r="B367" s="16" t="s">
        <v>5</v>
      </c>
      <c r="C367" s="4" t="s">
        <v>5</v>
      </c>
      <c r="D367" s="4" t="s">
        <v>5</v>
      </c>
      <c r="E367" s="8"/>
      <c r="F367" s="4" t="s">
        <v>5</v>
      </c>
      <c r="G367" s="8"/>
      <c r="H367" s="8"/>
      <c r="I367" s="10"/>
    </row>
    <row r="368" spans="1:11">
      <c r="A368" s="11" t="s">
        <v>177</v>
      </c>
      <c r="B368" s="16" t="s">
        <v>5</v>
      </c>
      <c r="C368" s="4" t="s">
        <v>5</v>
      </c>
      <c r="D368" s="4" t="s">
        <v>5</v>
      </c>
      <c r="E368" s="8"/>
      <c r="F368" s="4" t="s">
        <v>5</v>
      </c>
      <c r="G368" s="8"/>
      <c r="H368" s="8"/>
      <c r="I368" s="10"/>
    </row>
    <row r="369" spans="1:9">
      <c r="A369" s="11" t="s">
        <v>191</v>
      </c>
      <c r="B369" s="16" t="s">
        <v>5</v>
      </c>
      <c r="C369" s="4" t="s">
        <v>5</v>
      </c>
      <c r="D369" s="4" t="s">
        <v>5</v>
      </c>
      <c r="E369" s="8"/>
      <c r="F369" s="4" t="s">
        <v>5</v>
      </c>
      <c r="G369" s="8"/>
      <c r="H369" s="8"/>
      <c r="I369" s="10"/>
    </row>
    <row r="370" spans="1:9">
      <c r="A370" s="11" t="s">
        <v>178</v>
      </c>
      <c r="B370" s="16" t="s">
        <v>5</v>
      </c>
      <c r="C370" s="4" t="s">
        <v>5</v>
      </c>
      <c r="D370" s="4" t="s">
        <v>5</v>
      </c>
      <c r="E370" s="4" t="s">
        <v>5</v>
      </c>
      <c r="F370" s="4" t="s">
        <v>5</v>
      </c>
      <c r="G370" s="4" t="s">
        <v>5</v>
      </c>
      <c r="H370" s="4" t="s">
        <v>5</v>
      </c>
      <c r="I370" s="10"/>
    </row>
    <row r="371" spans="1:9">
      <c r="A371" s="11" t="s">
        <v>179</v>
      </c>
      <c r="B371" s="16" t="s">
        <v>5</v>
      </c>
      <c r="C371" s="4" t="s">
        <v>5</v>
      </c>
      <c r="D371" s="4" t="s">
        <v>5</v>
      </c>
      <c r="E371" s="4" t="s">
        <v>5</v>
      </c>
      <c r="F371" s="4" t="s">
        <v>5</v>
      </c>
      <c r="G371" s="4" t="s">
        <v>5</v>
      </c>
      <c r="H371" s="4" t="s">
        <v>5</v>
      </c>
      <c r="I371" s="10"/>
    </row>
    <row r="372" spans="1:9">
      <c r="A372" s="11" t="s">
        <v>192</v>
      </c>
      <c r="B372" s="16" t="s">
        <v>5</v>
      </c>
      <c r="C372" s="4" t="s">
        <v>5</v>
      </c>
      <c r="D372" s="4" t="s">
        <v>5</v>
      </c>
      <c r="E372" s="4" t="s">
        <v>5</v>
      </c>
      <c r="F372" s="4" t="s">
        <v>5</v>
      </c>
      <c r="G372" s="4" t="s">
        <v>5</v>
      </c>
      <c r="H372" s="4" t="s">
        <v>5</v>
      </c>
      <c r="I372" s="10"/>
    </row>
    <row r="373" spans="1:9">
      <c r="A373" s="11" t="s">
        <v>212</v>
      </c>
      <c r="B373" s="16" t="s">
        <v>5</v>
      </c>
      <c r="C373" s="4" t="s">
        <v>5</v>
      </c>
      <c r="D373" s="8"/>
      <c r="E373" s="8"/>
      <c r="F373" s="8"/>
      <c r="G373" s="8"/>
      <c r="H373" s="8"/>
      <c r="I373" s="10"/>
    </row>
    <row r="374" spans="1:9">
      <c r="A374" s="11" t="s">
        <v>213</v>
      </c>
      <c r="B374" s="16" t="s">
        <v>5</v>
      </c>
      <c r="C374" s="4" t="s">
        <v>5</v>
      </c>
      <c r="D374" s="8"/>
      <c r="E374" s="8"/>
      <c r="F374" s="8"/>
      <c r="G374" s="8"/>
      <c r="H374" s="8"/>
      <c r="I374" s="10"/>
    </row>
    <row r="375" spans="1:9">
      <c r="A375" s="11" t="s">
        <v>214</v>
      </c>
      <c r="B375" s="16" t="s">
        <v>5</v>
      </c>
      <c r="C375" s="4" t="s">
        <v>5</v>
      </c>
      <c r="D375" s="8"/>
      <c r="E375" s="8"/>
      <c r="F375" s="8"/>
      <c r="G375" s="8"/>
      <c r="H375" s="8"/>
      <c r="I375" s="10"/>
    </row>
    <row r="376" spans="1:9">
      <c r="A376" s="11" t="s">
        <v>215</v>
      </c>
      <c r="B376" s="16" t="s">
        <v>5</v>
      </c>
      <c r="C376" s="4" t="s">
        <v>5</v>
      </c>
      <c r="D376" s="8"/>
      <c r="E376" s="8"/>
      <c r="F376" s="8"/>
      <c r="G376" s="8"/>
      <c r="H376" s="8"/>
      <c r="I376" s="10"/>
    </row>
    <row r="377" spans="1:9">
      <c r="A377" s="11" t="s">
        <v>216</v>
      </c>
      <c r="B377" s="16" t="s">
        <v>5</v>
      </c>
      <c r="C377" s="4" t="s">
        <v>5</v>
      </c>
      <c r="D377" s="4" t="s">
        <v>5</v>
      </c>
      <c r="E377" s="4" t="s">
        <v>5</v>
      </c>
      <c r="F377" s="8"/>
      <c r="G377" s="8"/>
      <c r="H377" s="8"/>
      <c r="I377" s="10"/>
    </row>
  </sheetData>
  <sheetProtection sheet="1" objects="1" scenarios="1"/>
  <dataValidations count="331">
    <dataValidation type="decimal" allowBlank="1" showInputMessage="1" showErrorMessage="1" error="The rate of return must be a non-negative percentage value." sqref="B58">
      <formula1>0</formula1>
      <formula2>4</formula2>
    </dataValidation>
    <dataValidation type="decimal" allowBlank="1" showInputMessage="1" showErrorMessage="1" sqref="C58">
      <formula1>0</formula1>
      <formula2>999999</formula2>
    </dataValidation>
    <dataValidation type="decimal" allowBlank="1" showInputMessage="1" showErrorMessage="1" sqref="E58">
      <formula1>0.001</formula1>
      <formula2>1</formula2>
    </dataValidation>
    <dataValidation type="decimal" allowBlank="1" showInputMessage="1" showErrorMessage="1" sqref="F58">
      <formula1>1</formula1>
      <formula2>999</formula2>
    </dataValidation>
    <dataValidation type="decimal" allowBlank="1" showInputMessage="1" showErrorMessage="1" error="Must be a non-negative percentage value." sqref="B68:B75">
      <formula1>0</formula1>
      <formula2>4</formula2>
    </dataValidation>
    <dataValidation type="decimal" allowBlank="1" showInputMessage="1" showErrorMessage="1" error="The proportion of load going through 132kV/HV must be between 0% and 100%." sqref="B80">
      <formula1>0</formula1>
      <formula2>1</formula2>
    </dataValidation>
    <dataValidation type="decimal" allowBlank="1" showInputMessage="1" showErrorMessage="1" sqref="B85">
      <formula1>0.001</formula1>
      <formula2>999999.999</formula2>
    </dataValidation>
    <dataValidation type="decimal" operator="greaterThanOrEqual" allowBlank="1" showInputMessage="1" showErrorMessage="1" sqref="B90:B97">
      <formula1>0</formula1>
    </dataValidation>
    <dataValidation type="decimal" operator="greaterThanOrEqual" allowBlank="1" showInputMessage="1" showErrorMessage="1" sqref="B102:I102">
      <formula1>0</formula1>
    </dataValidation>
    <dataValidation type="decimal" operator="greaterThanOrEqual" allowBlank="1" showInputMessage="1" showErrorMessage="1" sqref="B107:F107">
      <formula1>0</formula1>
    </dataValidation>
    <dataValidation type="decimal" allowBlank="1" showInputMessage="1" showErrorMessage="1" error="The number in this cell must be between 0% and 100%." sqref="B112:I125">
      <formula1>0</formula1>
      <formula2>1</formula2>
    </dataValidation>
    <dataValidation type="decimal" operator="greaterThanOrEqual" allowBlank="1" showInputMessage="1" showErrorMessage="1" sqref="B132:I132">
      <formula1>0</formula1>
    </dataValidation>
    <dataValidation type="decimal" allowBlank="1" showInputMessage="1" showErrorMessage="1" error="The number in this cell must be between 0% and 100%." sqref="B137:F140">
      <formula1>0</formula1>
      <formula2>1</formula2>
    </dataValidation>
    <dataValidation type="decimal" operator="greaterThan" allowBlank="1" showInputMessage="1" showErrorMessage="1" sqref="B146:H146">
      <formula1>0</formula1>
    </dataValidation>
    <dataValidation type="decimal" allowBlank="1" showInputMessage="1" showErrorMessage="1" error="The LDNO discount must be between 0% and 100%." sqref="B152:F152">
      <formula1>0</formula1>
      <formula2>1</formula2>
    </dataValidation>
    <dataValidation type="decimal" allowBlank="1" showInputMessage="1" showErrorMessage="1" error="The coincidence factor must be between 0% and 100%." sqref="B158:B174">
      <formula1>0</formula1>
      <formula2>1</formula2>
    </dataValidation>
    <dataValidation type="decimal" allowBlank="1" showInputMessage="1" showErrorMessage="1" error="The load factor must be between 0% and 100%." sqref="C158:C174">
      <formula1>0</formula1>
      <formula2>1</formula2>
    </dataValidation>
    <dataValidation type="textLength" operator="equal" allowBlank="1" showInputMessage="1" showErrorMessage="1" error="This cell should remain blank." sqref="B182">
      <formula1>0</formula1>
    </dataValidation>
    <dataValidation type="decimal" operator="greaterThanOrEqual" allowBlank="1" showInputMessage="1" showErrorMessage="1" errorTitle="Volume data error" error="The volume must be a non-negative number." sqref="B183:B185">
      <formula1>0</formula1>
    </dataValidation>
    <dataValidation type="textLength" operator="equal" allowBlank="1" showInputMessage="1" showErrorMessage="1" error="This cell should remain blank." sqref="B186">
      <formula1>0</formula1>
    </dataValidation>
    <dataValidation type="decimal" operator="greaterThanOrEqual" allowBlank="1" showInputMessage="1" showErrorMessage="1" errorTitle="Volume data error" error="The volume must be a non-negative number." sqref="B187:B189">
      <formula1>0</formula1>
    </dataValidation>
    <dataValidation type="textLength" operator="equal" allowBlank="1" showInputMessage="1" showErrorMessage="1" error="This cell should remain blank." sqref="B190">
      <formula1>0</formula1>
    </dataValidation>
    <dataValidation type="decimal" operator="greaterThanOrEqual" allowBlank="1" showInputMessage="1" showErrorMessage="1" errorTitle="Volume data error" error="The volume must be a non-negative number." sqref="B191:B193">
      <formula1>0</formula1>
    </dataValidation>
    <dataValidation type="textLength" operator="equal" allowBlank="1" showInputMessage="1" showErrorMessage="1" error="This cell should remain blank." sqref="B194">
      <formula1>0</formula1>
    </dataValidation>
    <dataValidation type="decimal" operator="greaterThanOrEqual" allowBlank="1" showInputMessage="1" showErrorMessage="1" errorTitle="Volume data error" error="The volume must be a non-negative number." sqref="B195:B197">
      <formula1>0</formula1>
    </dataValidation>
    <dataValidation type="textLength" operator="equal" allowBlank="1" showInputMessage="1" showErrorMessage="1" error="This cell should remain blank." sqref="B198">
      <formula1>0</formula1>
    </dataValidation>
    <dataValidation type="decimal" operator="greaterThanOrEqual" allowBlank="1" showInputMessage="1" showErrorMessage="1" errorTitle="Volume data error" error="The volume must be a non-negative number." sqref="B199:B201">
      <formula1>0</formula1>
    </dataValidation>
    <dataValidation type="textLength" operator="equal" allowBlank="1" showInputMessage="1" showErrorMessage="1" error="This cell should remain blank." sqref="B202">
      <formula1>0</formula1>
    </dataValidation>
    <dataValidation type="decimal" operator="greaterThanOrEqual" allowBlank="1" showInputMessage="1" showErrorMessage="1" errorTitle="Volume data error" error="The volume must be a non-negative number." sqref="B203:B205">
      <formula1>0</formula1>
    </dataValidation>
    <dataValidation type="textLength" operator="equal" allowBlank="1" showInputMessage="1" showErrorMessage="1" error="This cell should remain blank." sqref="B206">
      <formula1>0</formula1>
    </dataValidation>
    <dataValidation type="decimal" operator="greaterThanOrEqual" allowBlank="1" showInputMessage="1" showErrorMessage="1" errorTitle="Volume data error" error="The volume must be a non-negative number." sqref="B207:B209">
      <formula1>0</formula1>
    </dataValidation>
    <dataValidation type="textLength" operator="equal" allowBlank="1" showInputMessage="1" showErrorMessage="1" error="This cell should remain blank." sqref="B210">
      <formula1>0</formula1>
    </dataValidation>
    <dataValidation type="decimal" operator="greaterThanOrEqual" allowBlank="1" showInputMessage="1" showErrorMessage="1" errorTitle="Volume data error" error="The volume must be a non-negative number." sqref="B211">
      <formula1>0</formula1>
    </dataValidation>
    <dataValidation type="textLength" operator="equal" allowBlank="1" showInputMessage="1" showErrorMessage="1" error="This cell should remain blank." sqref="B212">
      <formula1>0</formula1>
    </dataValidation>
    <dataValidation type="decimal" operator="greaterThanOrEqual" allowBlank="1" showInputMessage="1" showErrorMessage="1" errorTitle="Volume data error" error="The volume must be a non-negative number." sqref="B213">
      <formula1>0</formula1>
    </dataValidation>
    <dataValidation type="textLength" operator="equal" allowBlank="1" showInputMessage="1" showErrorMessage="1" error="This cell should remain blank." sqref="B214">
      <formula1>0</formula1>
    </dataValidation>
    <dataValidation type="decimal" operator="greaterThanOrEqual" allowBlank="1" showInputMessage="1" showErrorMessage="1" errorTitle="Volume data error" error="The volume must be a non-negative number." sqref="B215:B217">
      <formula1>0</formula1>
    </dataValidation>
    <dataValidation type="textLength" operator="equal" allowBlank="1" showInputMessage="1" showErrorMessage="1" error="This cell should remain blank." sqref="B218">
      <formula1>0</formula1>
    </dataValidation>
    <dataValidation type="decimal" operator="greaterThanOrEqual" allowBlank="1" showInputMessage="1" showErrorMessage="1" errorTitle="Volume data error" error="The volume must be a non-negative number." sqref="B219:B220">
      <formula1>0</formula1>
    </dataValidation>
    <dataValidation type="textLength" operator="equal" allowBlank="1" showInputMessage="1" showErrorMessage="1" error="This cell should remain blank." sqref="B221">
      <formula1>0</formula1>
    </dataValidation>
    <dataValidation type="decimal" operator="greaterThanOrEqual" allowBlank="1" showInputMessage="1" showErrorMessage="1" errorTitle="Volume data error" error="The volume must be a non-negative number." sqref="B222:B223">
      <formula1>0</formula1>
    </dataValidation>
    <dataValidation type="textLength" operator="equal" allowBlank="1" showInputMessage="1" showErrorMessage="1" error="This cell should remain blank." sqref="B224">
      <formula1>0</formula1>
    </dataValidation>
    <dataValidation type="decimal" operator="greaterThanOrEqual" allowBlank="1" showInputMessage="1" showErrorMessage="1" errorTitle="Volume data error" error="The volume must be a non-negative number." sqref="B225:B227">
      <formula1>0</formula1>
    </dataValidation>
    <dataValidation type="textLength" operator="equal" allowBlank="1" showInputMessage="1" showErrorMessage="1" error="This cell should remain blank." sqref="B228">
      <formula1>0</formula1>
    </dataValidation>
    <dataValidation type="decimal" operator="greaterThanOrEqual" allowBlank="1" showInputMessage="1" showErrorMessage="1" errorTitle="Volume data error" error="The volume must be a non-negative number." sqref="B229:B231">
      <formula1>0</formula1>
    </dataValidation>
    <dataValidation type="textLength" operator="equal" allowBlank="1" showInputMessage="1" showErrorMessage="1" error="This cell should remain blank." sqref="B232">
      <formula1>0</formula1>
    </dataValidation>
    <dataValidation type="decimal" operator="greaterThanOrEqual" allowBlank="1" showInputMessage="1" showErrorMessage="1" errorTitle="Volume data error" error="The volume must be a non-negative number." sqref="B233:B235">
      <formula1>0</formula1>
    </dataValidation>
    <dataValidation type="textLength" operator="equal" allowBlank="1" showInputMessage="1" showErrorMessage="1" error="This cell should remain blank." sqref="B236">
      <formula1>0</formula1>
    </dataValidation>
    <dataValidation type="decimal" operator="greaterThanOrEqual" allowBlank="1" showInputMessage="1" showErrorMessage="1" errorTitle="Volume data error" error="The volume must be a non-negative number." sqref="B237:B239">
      <formula1>0</formula1>
    </dataValidation>
    <dataValidation type="textLength" operator="equal" allowBlank="1" showInputMessage="1" showErrorMessage="1" error="This cell should remain blank." sqref="B240">
      <formula1>0</formula1>
    </dataValidation>
    <dataValidation type="decimal" operator="greaterThanOrEqual" allowBlank="1" showInputMessage="1" showErrorMessage="1" errorTitle="Volume data error" error="The volume must be a non-negative number." sqref="B241:B243">
      <formula1>0</formula1>
    </dataValidation>
    <dataValidation type="textLength" operator="equal" allowBlank="1" showInputMessage="1" showErrorMessage="1" error="This cell should remain blank." sqref="B244">
      <formula1>0</formula1>
    </dataValidation>
    <dataValidation type="decimal" operator="greaterThanOrEqual" allowBlank="1" showInputMessage="1" showErrorMessage="1" errorTitle="Volume data error" error="The volume must be a non-negative number." sqref="B245:B247">
      <formula1>0</formula1>
    </dataValidation>
    <dataValidation type="textLength" operator="equal" allowBlank="1" showInputMessage="1" showErrorMessage="1" error="This cell should remain blank." sqref="B248">
      <formula1>0</formula1>
    </dataValidation>
    <dataValidation type="decimal" operator="greaterThanOrEqual" allowBlank="1" showInputMessage="1" showErrorMessage="1" errorTitle="Volume data error" error="The volume must be a non-negative number." sqref="B249:B250">
      <formula1>0</formula1>
    </dataValidation>
    <dataValidation type="textLength" operator="equal" allowBlank="1" showInputMessage="1" showErrorMessage="1" error="This cell should remain blank." sqref="B251">
      <formula1>0</formula1>
    </dataValidation>
    <dataValidation type="decimal" operator="greaterThanOrEqual" allowBlank="1" showInputMessage="1" showErrorMessage="1" errorTitle="Volume data error" error="The volume must be a non-negative number." sqref="B252:B254">
      <formula1>0</formula1>
    </dataValidation>
    <dataValidation type="textLength" operator="equal" allowBlank="1" showInputMessage="1" showErrorMessage="1" error="This cell should remain blank." sqref="B255">
      <formula1>0</formula1>
    </dataValidation>
    <dataValidation type="decimal" operator="greaterThanOrEqual" allowBlank="1" showInputMessage="1" showErrorMessage="1" errorTitle="Volume data error" error="The volume must be a non-negative number." sqref="B256:B258">
      <formula1>0</formula1>
    </dataValidation>
    <dataValidation type="textLength" operator="equal" allowBlank="1" showInputMessage="1" showErrorMessage="1" error="This cell should remain blank." sqref="B259">
      <formula1>0</formula1>
    </dataValidation>
    <dataValidation type="decimal" operator="greaterThanOrEqual" allowBlank="1" showInputMessage="1" showErrorMessage="1" errorTitle="Volume data error" error="The volume must be a non-negative number." sqref="B260:B261">
      <formula1>0</formula1>
    </dataValidation>
    <dataValidation type="textLength" operator="equal" allowBlank="1" showInputMessage="1" showErrorMessage="1" error="This cell should remain blank." sqref="B262">
      <formula1>0</formula1>
    </dataValidation>
    <dataValidation type="decimal" operator="greaterThanOrEqual" allowBlank="1" showInputMessage="1" showErrorMessage="1" errorTitle="Volume data error" error="The volume must be a non-negative number." sqref="B263:B264">
      <formula1>0</formula1>
    </dataValidation>
    <dataValidation type="textLength" operator="equal" allowBlank="1" showInputMessage="1" showErrorMessage="1" error="This cell should remain blank." sqref="B265">
      <formula1>0</formula1>
    </dataValidation>
    <dataValidation type="decimal" operator="greaterThanOrEqual" allowBlank="1" showInputMessage="1" showErrorMessage="1" errorTitle="Volume data error" error="The volume must be a non-negative number." sqref="B266:B267">
      <formula1>0</formula1>
    </dataValidation>
    <dataValidation type="textLength" operator="equal" allowBlank="1" showInputMessage="1" showErrorMessage="1" error="This cell should remain blank." sqref="B268">
      <formula1>0</formula1>
    </dataValidation>
    <dataValidation type="decimal" operator="greaterThanOrEqual" allowBlank="1" showInputMessage="1" showErrorMessage="1" errorTitle="Volume data error" error="The volume must be a non-negative number." sqref="B269:B270">
      <formula1>0</formula1>
    </dataValidation>
    <dataValidation type="textLength" operator="equal" allowBlank="1" showInputMessage="1" showErrorMessage="1" error="This cell should remain blank." sqref="C182">
      <formula1>0</formula1>
    </dataValidation>
    <dataValidation type="decimal" operator="greaterThanOrEqual" allowBlank="1" showInputMessage="1" showErrorMessage="1" errorTitle="Volume data error" error="The volume must be a non-negative number." sqref="C183:C185">
      <formula1>0</formula1>
    </dataValidation>
    <dataValidation type="textLength" operator="equal" allowBlank="1" showInputMessage="1" showErrorMessage="1" error="This cell should remain blank." sqref="C186">
      <formula1>0</formula1>
    </dataValidation>
    <dataValidation type="decimal" operator="greaterThanOrEqual" allowBlank="1" showInputMessage="1" showErrorMessage="1" errorTitle="Volume data error" error="The volume must be a non-negative number." sqref="C187:C189">
      <formula1>0</formula1>
    </dataValidation>
    <dataValidation type="textLength" operator="equal" allowBlank="1" showInputMessage="1" showErrorMessage="1" error="This cell should remain blank." sqref="C190">
      <formula1>0</formula1>
    </dataValidation>
    <dataValidation type="decimal" operator="greaterThanOrEqual" allowBlank="1" showInputMessage="1" showErrorMessage="1" errorTitle="Volume data error" error="The volume must be a non-negative number." sqref="C191:C193">
      <formula1>0</formula1>
    </dataValidation>
    <dataValidation type="textLength" operator="equal" allowBlank="1" showInputMessage="1" showErrorMessage="1" error="This cell should remain blank." sqref="C194">
      <formula1>0</formula1>
    </dataValidation>
    <dataValidation type="decimal" operator="greaterThanOrEqual" allowBlank="1" showInputMessage="1" showErrorMessage="1" errorTitle="Volume data error" error="The volume must be a non-negative number." sqref="C195:C197">
      <formula1>0</formula1>
    </dataValidation>
    <dataValidation type="textLength" operator="equal" allowBlank="1" showInputMessage="1" showErrorMessage="1" error="This cell should remain blank." sqref="C198">
      <formula1>0</formula1>
    </dataValidation>
    <dataValidation type="decimal" operator="greaterThanOrEqual" allowBlank="1" showInputMessage="1" showErrorMessage="1" errorTitle="Volume data error" error="The volume must be a non-negative number." sqref="C199:C201">
      <formula1>0</formula1>
    </dataValidation>
    <dataValidation type="textLength" operator="equal" allowBlank="1" showInputMessage="1" showErrorMessage="1" error="This cell should remain blank." sqref="C202">
      <formula1>0</formula1>
    </dataValidation>
    <dataValidation type="decimal" operator="greaterThanOrEqual" allowBlank="1" showInputMessage="1" showErrorMessage="1" errorTitle="Volume data error" error="The volume must be a non-negative number." sqref="C203:C205">
      <formula1>0</formula1>
    </dataValidation>
    <dataValidation type="textLength" operator="equal" allowBlank="1" showInputMessage="1" showErrorMessage="1" error="This cell should remain blank." sqref="C206">
      <formula1>0</formula1>
    </dataValidation>
    <dataValidation type="decimal" operator="greaterThanOrEqual" allowBlank="1" showInputMessage="1" showErrorMessage="1" errorTitle="Volume data error" error="The volume must be a non-negative number." sqref="C207:C209">
      <formula1>0</formula1>
    </dataValidation>
    <dataValidation type="textLength" operator="equal" allowBlank="1" showInputMessage="1" showErrorMessage="1" error="This cell should remain blank." sqref="C210">
      <formula1>0</formula1>
    </dataValidation>
    <dataValidation type="decimal" operator="greaterThanOrEqual" allowBlank="1" showInputMessage="1" showErrorMessage="1" errorTitle="Volume data error" error="The volume must be a non-negative number." sqref="C211">
      <formula1>0</formula1>
    </dataValidation>
    <dataValidation type="textLength" operator="equal" allowBlank="1" showInputMessage="1" showErrorMessage="1" error="This cell should remain blank." sqref="C212">
      <formula1>0</formula1>
    </dataValidation>
    <dataValidation type="decimal" operator="greaterThanOrEqual" allowBlank="1" showInputMessage="1" showErrorMessage="1" errorTitle="Volume data error" error="The volume must be a non-negative number." sqref="C213">
      <formula1>0</formula1>
    </dataValidation>
    <dataValidation type="textLength" operator="equal" allowBlank="1" showInputMessage="1" showErrorMessage="1" error="This cell should remain blank." sqref="C214">
      <formula1>0</formula1>
    </dataValidation>
    <dataValidation type="decimal" operator="greaterThanOrEqual" allowBlank="1" showInputMessage="1" showErrorMessage="1" errorTitle="Volume data error" error="The volume must be a non-negative number." sqref="C215:C217">
      <formula1>0</formula1>
    </dataValidation>
    <dataValidation type="textLength" operator="equal" allowBlank="1" showInputMessage="1" showErrorMessage="1" error="This cell should remain blank." sqref="C218">
      <formula1>0</formula1>
    </dataValidation>
    <dataValidation type="decimal" operator="greaterThanOrEqual" allowBlank="1" showInputMessage="1" showErrorMessage="1" errorTitle="Volume data error" error="The volume must be a non-negative number." sqref="C219:C220">
      <formula1>0</formula1>
    </dataValidation>
    <dataValidation type="textLength" operator="equal" allowBlank="1" showInputMessage="1" showErrorMessage="1" error="This cell should remain blank." sqref="C221">
      <formula1>0</formula1>
    </dataValidation>
    <dataValidation type="decimal" operator="greaterThanOrEqual" allowBlank="1" showInputMessage="1" showErrorMessage="1" errorTitle="Volume data error" error="The volume must be a non-negative number." sqref="C222:C223">
      <formula1>0</formula1>
    </dataValidation>
    <dataValidation type="textLength" operator="equal" allowBlank="1" showInputMessage="1" showErrorMessage="1" error="This cell should remain blank." sqref="C224">
      <formula1>0</formula1>
    </dataValidation>
    <dataValidation type="decimal" operator="greaterThanOrEqual" allowBlank="1" showInputMessage="1" showErrorMessage="1" errorTitle="Volume data error" error="The volume must be a non-negative number." sqref="C225:C227">
      <formula1>0</formula1>
    </dataValidation>
    <dataValidation type="textLength" operator="equal" allowBlank="1" showInputMessage="1" showErrorMessage="1" error="This cell should remain blank." sqref="C228">
      <formula1>0</formula1>
    </dataValidation>
    <dataValidation type="decimal" operator="greaterThanOrEqual" allowBlank="1" showInputMessage="1" showErrorMessage="1" errorTitle="Volume data error" error="The volume must be a non-negative number." sqref="C229:C231">
      <formula1>0</formula1>
    </dataValidation>
    <dataValidation type="textLength" operator="equal" allowBlank="1" showInputMessage="1" showErrorMessage="1" error="This cell should remain blank." sqref="C232">
      <formula1>0</formula1>
    </dataValidation>
    <dataValidation type="decimal" operator="greaterThanOrEqual" allowBlank="1" showInputMessage="1" showErrorMessage="1" errorTitle="Volume data error" error="The volume must be a non-negative number." sqref="C233:C235">
      <formula1>0</formula1>
    </dataValidation>
    <dataValidation type="textLength" operator="equal" allowBlank="1" showInputMessage="1" showErrorMessage="1" error="This cell should remain blank." sqref="C236">
      <formula1>0</formula1>
    </dataValidation>
    <dataValidation type="decimal" operator="greaterThanOrEqual" allowBlank="1" showInputMessage="1" showErrorMessage="1" errorTitle="Volume data error" error="The volume must be a non-negative number." sqref="C237:C239">
      <formula1>0</formula1>
    </dataValidation>
    <dataValidation type="textLength" operator="equal" allowBlank="1" showInputMessage="1" showErrorMessage="1" error="This cell should remain blank." sqref="C240">
      <formula1>0</formula1>
    </dataValidation>
    <dataValidation type="decimal" operator="greaterThanOrEqual" allowBlank="1" showInputMessage="1" showErrorMessage="1" errorTitle="Volume data error" error="The volume must be a non-negative number." sqref="C241:C243">
      <formula1>0</formula1>
    </dataValidation>
    <dataValidation type="textLength" operator="equal" allowBlank="1" showInputMessage="1" showErrorMessage="1" error="This cell should remain blank." sqref="C244">
      <formula1>0</formula1>
    </dataValidation>
    <dataValidation type="decimal" operator="greaterThanOrEqual" allowBlank="1" showInputMessage="1" showErrorMessage="1" errorTitle="Volume data error" error="The volume must be a non-negative number." sqref="C245:C247">
      <formula1>0</formula1>
    </dataValidation>
    <dataValidation type="textLength" operator="equal" allowBlank="1" showInputMessage="1" showErrorMessage="1" error="This cell should remain blank." sqref="C248">
      <formula1>0</formula1>
    </dataValidation>
    <dataValidation type="decimal" operator="greaterThanOrEqual" allowBlank="1" showInputMessage="1" showErrorMessage="1" errorTitle="Volume data error" error="The volume must be a non-negative number." sqref="C249:C250">
      <formula1>0</formula1>
    </dataValidation>
    <dataValidation type="textLength" operator="equal" allowBlank="1" showInputMessage="1" showErrorMessage="1" error="This cell should remain blank." sqref="C251">
      <formula1>0</formula1>
    </dataValidation>
    <dataValidation type="decimal" operator="greaterThanOrEqual" allowBlank="1" showInputMessage="1" showErrorMessage="1" errorTitle="Volume data error" error="The volume must be a non-negative number." sqref="C252:C254">
      <formula1>0</formula1>
    </dataValidation>
    <dataValidation type="textLength" operator="equal" allowBlank="1" showInputMessage="1" showErrorMessage="1" error="This cell should remain blank." sqref="C255">
      <formula1>0</formula1>
    </dataValidation>
    <dataValidation type="decimal" operator="greaterThanOrEqual" allowBlank="1" showInputMessage="1" showErrorMessage="1" errorTitle="Volume data error" error="The volume must be a non-negative number." sqref="C256:C258">
      <formula1>0</formula1>
    </dataValidation>
    <dataValidation type="textLength" operator="equal" allowBlank="1" showInputMessage="1" showErrorMessage="1" error="This cell should remain blank." sqref="C259">
      <formula1>0</formula1>
    </dataValidation>
    <dataValidation type="decimal" operator="greaterThanOrEqual" allowBlank="1" showInputMessage="1" showErrorMessage="1" errorTitle="Volume data error" error="The volume must be a non-negative number." sqref="C260:C261">
      <formula1>0</formula1>
    </dataValidation>
    <dataValidation type="textLength" operator="equal" allowBlank="1" showInputMessage="1" showErrorMessage="1" error="This cell should remain blank." sqref="C262">
      <formula1>0</formula1>
    </dataValidation>
    <dataValidation type="decimal" operator="greaterThanOrEqual" allowBlank="1" showInputMessage="1" showErrorMessage="1" errorTitle="Volume data error" error="The volume must be a non-negative number." sqref="C263:C264">
      <formula1>0</formula1>
    </dataValidation>
    <dataValidation type="textLength" operator="equal" allowBlank="1" showInputMessage="1" showErrorMessage="1" error="This cell should remain blank." sqref="C265">
      <formula1>0</formula1>
    </dataValidation>
    <dataValidation type="decimal" operator="greaterThanOrEqual" allowBlank="1" showInputMessage="1" showErrorMessage="1" errorTitle="Volume data error" error="The volume must be a non-negative number." sqref="C266:C267">
      <formula1>0</formula1>
    </dataValidation>
    <dataValidation type="textLength" operator="equal" allowBlank="1" showInputMessage="1" showErrorMessage="1" error="This cell should remain blank." sqref="C268">
      <formula1>0</formula1>
    </dataValidation>
    <dataValidation type="decimal" operator="greaterThanOrEqual" allowBlank="1" showInputMessage="1" showErrorMessage="1" errorTitle="Volume data error" error="The volume must be a non-negative number." sqref="C269:C270">
      <formula1>0</formula1>
    </dataValidation>
    <dataValidation type="textLength" operator="equal" allowBlank="1" showInputMessage="1" showErrorMessage="1" error="This cell should remain blank." sqref="D182">
      <formula1>0</formula1>
    </dataValidation>
    <dataValidation type="decimal" operator="greaterThanOrEqual" allowBlank="1" showInputMessage="1" showErrorMessage="1" errorTitle="Volume data error" error="The volume must be a non-negative number." sqref="D183:D185">
      <formula1>0</formula1>
    </dataValidation>
    <dataValidation type="textLength" operator="equal" allowBlank="1" showInputMessage="1" showErrorMessage="1" error="This cell should remain blank." sqref="D186">
      <formula1>0</formula1>
    </dataValidation>
    <dataValidation type="decimal" operator="greaterThanOrEqual" allowBlank="1" showInputMessage="1" showErrorMessage="1" errorTitle="Volume data error" error="The volume must be a non-negative number." sqref="D187:D189">
      <formula1>0</formula1>
    </dataValidation>
    <dataValidation type="textLength" operator="equal" allowBlank="1" showInputMessage="1" showErrorMessage="1" error="This cell should remain blank." sqref="D190">
      <formula1>0</formula1>
    </dataValidation>
    <dataValidation type="decimal" operator="greaterThanOrEqual" allowBlank="1" showInputMessage="1" showErrorMessage="1" errorTitle="Volume data error" error="The volume must be a non-negative number." sqref="D191:D193">
      <formula1>0</formula1>
    </dataValidation>
    <dataValidation type="textLength" operator="equal" allowBlank="1" showInputMessage="1" showErrorMessage="1" error="This cell should remain blank." sqref="D194">
      <formula1>0</formula1>
    </dataValidation>
    <dataValidation type="decimal" operator="greaterThanOrEqual" allowBlank="1" showInputMessage="1" showErrorMessage="1" errorTitle="Volume data error" error="The volume must be a non-negative number." sqref="D195:D197">
      <formula1>0</formula1>
    </dataValidation>
    <dataValidation type="textLength" operator="equal" allowBlank="1" showInputMessage="1" showErrorMessage="1" error="This cell should remain blank." sqref="D198">
      <formula1>0</formula1>
    </dataValidation>
    <dataValidation type="decimal" operator="greaterThanOrEqual" allowBlank="1" showInputMessage="1" showErrorMessage="1" errorTitle="Volume data error" error="The volume must be a non-negative number." sqref="D199:D201">
      <formula1>0</formula1>
    </dataValidation>
    <dataValidation type="textLength" operator="equal" allowBlank="1" showInputMessage="1" showErrorMessage="1" error="This cell should remain blank." sqref="D202">
      <formula1>0</formula1>
    </dataValidation>
    <dataValidation type="decimal" operator="greaterThanOrEqual" allowBlank="1" showInputMessage="1" showErrorMessage="1" errorTitle="Volume data error" error="The volume must be a non-negative number." sqref="D203:D205">
      <formula1>0</formula1>
    </dataValidation>
    <dataValidation type="textLength" operator="equal" allowBlank="1" showInputMessage="1" showErrorMessage="1" error="This cell should remain blank." sqref="D206">
      <formula1>0</formula1>
    </dataValidation>
    <dataValidation type="decimal" operator="greaterThanOrEqual" allowBlank="1" showInputMessage="1" showErrorMessage="1" errorTitle="Volume data error" error="The volume must be a non-negative number." sqref="D207:D209">
      <formula1>0</formula1>
    </dataValidation>
    <dataValidation type="textLength" operator="equal" allowBlank="1" showInputMessage="1" showErrorMessage="1" error="This cell should remain blank." sqref="D210">
      <formula1>0</formula1>
    </dataValidation>
    <dataValidation type="decimal" operator="greaterThanOrEqual" allowBlank="1" showInputMessage="1" showErrorMessage="1" errorTitle="Volume data error" error="The volume must be a non-negative number." sqref="D211">
      <formula1>0</formula1>
    </dataValidation>
    <dataValidation type="textLength" operator="equal" allowBlank="1" showInputMessage="1" showErrorMessage="1" error="This cell should remain blank." sqref="D212">
      <formula1>0</formula1>
    </dataValidation>
    <dataValidation type="decimal" operator="greaterThanOrEqual" allowBlank="1" showInputMessage="1" showErrorMessage="1" errorTitle="Volume data error" error="The volume must be a non-negative number." sqref="D213">
      <formula1>0</formula1>
    </dataValidation>
    <dataValidation type="textLength" operator="equal" allowBlank="1" showInputMessage="1" showErrorMessage="1" error="This cell should remain blank." sqref="D214">
      <formula1>0</formula1>
    </dataValidation>
    <dataValidation type="decimal" operator="greaterThanOrEqual" allowBlank="1" showInputMessage="1" showErrorMessage="1" errorTitle="Volume data error" error="The volume must be a non-negative number." sqref="D215:D217">
      <formula1>0</formula1>
    </dataValidation>
    <dataValidation type="textLength" operator="equal" allowBlank="1" showInputMessage="1" showErrorMessage="1" error="This cell should remain blank." sqref="D218">
      <formula1>0</formula1>
    </dataValidation>
    <dataValidation type="decimal" operator="greaterThanOrEqual" allowBlank="1" showInputMessage="1" showErrorMessage="1" errorTitle="Volume data error" error="The volume must be a non-negative number." sqref="D219:D220">
      <formula1>0</formula1>
    </dataValidation>
    <dataValidation type="textLength" operator="equal" allowBlank="1" showInputMessage="1" showErrorMessage="1" error="This cell should remain blank." sqref="D221">
      <formula1>0</formula1>
    </dataValidation>
    <dataValidation type="decimal" operator="greaterThanOrEqual" allowBlank="1" showInputMessage="1" showErrorMessage="1" errorTitle="Volume data error" error="The volume must be a non-negative number." sqref="D222:D223">
      <formula1>0</formula1>
    </dataValidation>
    <dataValidation type="textLength" operator="equal" allowBlank="1" showInputMessage="1" showErrorMessage="1" error="This cell should remain blank." sqref="D224">
      <formula1>0</formula1>
    </dataValidation>
    <dataValidation type="decimal" operator="greaterThanOrEqual" allowBlank="1" showInputMessage="1" showErrorMessage="1" errorTitle="Volume data error" error="The volume must be a non-negative number." sqref="D225:D227">
      <formula1>0</formula1>
    </dataValidation>
    <dataValidation type="textLength" operator="equal" allowBlank="1" showInputMessage="1" showErrorMessage="1" error="This cell should remain blank." sqref="D228">
      <formula1>0</formula1>
    </dataValidation>
    <dataValidation type="decimal" operator="greaterThanOrEqual" allowBlank="1" showInputMessage="1" showErrorMessage="1" errorTitle="Volume data error" error="The volume must be a non-negative number." sqref="D229:D231">
      <formula1>0</formula1>
    </dataValidation>
    <dataValidation type="textLength" operator="equal" allowBlank="1" showInputMessage="1" showErrorMessage="1" error="This cell should remain blank." sqref="D232">
      <formula1>0</formula1>
    </dataValidation>
    <dataValidation type="decimal" operator="greaterThanOrEqual" allowBlank="1" showInputMessage="1" showErrorMessage="1" errorTitle="Volume data error" error="The volume must be a non-negative number." sqref="D233:D235">
      <formula1>0</formula1>
    </dataValidation>
    <dataValidation type="textLength" operator="equal" allowBlank="1" showInputMessage="1" showErrorMessage="1" error="This cell should remain blank." sqref="D236">
      <formula1>0</formula1>
    </dataValidation>
    <dataValidation type="decimal" operator="greaterThanOrEqual" allowBlank="1" showInputMessage="1" showErrorMessage="1" errorTitle="Volume data error" error="The volume must be a non-negative number." sqref="D237:D239">
      <formula1>0</formula1>
    </dataValidation>
    <dataValidation type="textLength" operator="equal" allowBlank="1" showInputMessage="1" showErrorMessage="1" error="This cell should remain blank." sqref="D240">
      <formula1>0</formula1>
    </dataValidation>
    <dataValidation type="decimal" operator="greaterThanOrEqual" allowBlank="1" showInputMessage="1" showErrorMessage="1" errorTitle="Volume data error" error="The volume must be a non-negative number." sqref="D241:D243">
      <formula1>0</formula1>
    </dataValidation>
    <dataValidation type="textLength" operator="equal" allowBlank="1" showInputMessage="1" showErrorMessage="1" error="This cell should remain blank." sqref="D244">
      <formula1>0</formula1>
    </dataValidation>
    <dataValidation type="decimal" operator="greaterThanOrEqual" allowBlank="1" showInputMessage="1" showErrorMessage="1" errorTitle="Volume data error" error="The volume must be a non-negative number." sqref="D245:D247">
      <formula1>0</formula1>
    </dataValidation>
    <dataValidation type="textLength" operator="equal" allowBlank="1" showInputMessage="1" showErrorMessage="1" error="This cell should remain blank." sqref="D248">
      <formula1>0</formula1>
    </dataValidation>
    <dataValidation type="decimal" operator="greaterThanOrEqual" allowBlank="1" showInputMessage="1" showErrorMessage="1" errorTitle="Volume data error" error="The volume must be a non-negative number." sqref="D249:D250">
      <formula1>0</formula1>
    </dataValidation>
    <dataValidation type="textLength" operator="equal" allowBlank="1" showInputMessage="1" showErrorMessage="1" error="This cell should remain blank." sqref="D251">
      <formula1>0</formula1>
    </dataValidation>
    <dataValidation type="decimal" operator="greaterThanOrEqual" allowBlank="1" showInputMessage="1" showErrorMessage="1" errorTitle="Volume data error" error="The volume must be a non-negative number." sqref="D252:D254">
      <formula1>0</formula1>
    </dataValidation>
    <dataValidation type="textLength" operator="equal" allowBlank="1" showInputMessage="1" showErrorMessage="1" error="This cell should remain blank." sqref="D255">
      <formula1>0</formula1>
    </dataValidation>
    <dataValidation type="decimal" operator="greaterThanOrEqual" allowBlank="1" showInputMessage="1" showErrorMessage="1" errorTitle="Volume data error" error="The volume must be a non-negative number." sqref="D256:D258">
      <formula1>0</formula1>
    </dataValidation>
    <dataValidation type="textLength" operator="equal" allowBlank="1" showInputMessage="1" showErrorMessage="1" error="This cell should remain blank." sqref="D259">
      <formula1>0</formula1>
    </dataValidation>
    <dataValidation type="decimal" operator="greaterThanOrEqual" allowBlank="1" showInputMessage="1" showErrorMessage="1" errorTitle="Volume data error" error="The volume must be a non-negative number." sqref="D260:D261">
      <formula1>0</formula1>
    </dataValidation>
    <dataValidation type="textLength" operator="equal" allowBlank="1" showInputMessage="1" showErrorMessage="1" error="This cell should remain blank." sqref="D262">
      <formula1>0</formula1>
    </dataValidation>
    <dataValidation type="decimal" operator="greaterThanOrEqual" allowBlank="1" showInputMessage="1" showErrorMessage="1" errorTitle="Volume data error" error="The volume must be a non-negative number." sqref="D263:D264">
      <formula1>0</formula1>
    </dataValidation>
    <dataValidation type="textLength" operator="equal" allowBlank="1" showInputMessage="1" showErrorMessage="1" error="This cell should remain blank." sqref="D265">
      <formula1>0</formula1>
    </dataValidation>
    <dataValidation type="decimal" operator="greaterThanOrEqual" allowBlank="1" showInputMessage="1" showErrorMessage="1" errorTitle="Volume data error" error="The volume must be a non-negative number." sqref="D266:D267">
      <formula1>0</formula1>
    </dataValidation>
    <dataValidation type="textLength" operator="equal" allowBlank="1" showInputMessage="1" showErrorMessage="1" error="This cell should remain blank." sqref="D268">
      <formula1>0</formula1>
    </dataValidation>
    <dataValidation type="decimal" operator="greaterThanOrEqual" allowBlank="1" showInputMessage="1" showErrorMessage="1" errorTitle="Volume data error" error="The volume must be a non-negative number." sqref="D269:D270">
      <formula1>0</formula1>
    </dataValidation>
    <dataValidation type="textLength" operator="equal" allowBlank="1" showInputMessage="1" showErrorMessage="1" error="This cell should remain blank." sqref="E182">
      <formula1>0</formula1>
    </dataValidation>
    <dataValidation type="decimal" operator="greaterThanOrEqual" allowBlank="1" showInputMessage="1" showErrorMessage="1" errorTitle="Volume data error" error="The volume must be a non-negative number." sqref="E183:E185">
      <formula1>0</formula1>
    </dataValidation>
    <dataValidation type="textLength" operator="equal" allowBlank="1" showInputMessage="1" showErrorMessage="1" error="This cell should remain blank." sqref="E186">
      <formula1>0</formula1>
    </dataValidation>
    <dataValidation type="decimal" operator="greaterThanOrEqual" allowBlank="1" showInputMessage="1" showErrorMessage="1" errorTitle="Volume data error" error="The volume must be a non-negative number." sqref="E187:E189">
      <formula1>0</formula1>
    </dataValidation>
    <dataValidation type="textLength" operator="equal" allowBlank="1" showInputMessage="1" showErrorMessage="1" error="This cell should remain blank." sqref="E190">
      <formula1>0</formula1>
    </dataValidation>
    <dataValidation type="decimal" operator="greaterThanOrEqual" allowBlank="1" showInputMessage="1" showErrorMessage="1" errorTitle="Volume data error" error="The volume must be a non-negative number." sqref="E191:E193">
      <formula1>0</formula1>
    </dataValidation>
    <dataValidation type="textLength" operator="equal" allowBlank="1" showInputMessage="1" showErrorMessage="1" error="This cell should remain blank." sqref="E194">
      <formula1>0</formula1>
    </dataValidation>
    <dataValidation type="decimal" operator="greaterThanOrEqual" allowBlank="1" showInputMessage="1" showErrorMessage="1" errorTitle="Volume data error" error="The volume must be a non-negative number." sqref="E195:E197">
      <formula1>0</formula1>
    </dataValidation>
    <dataValidation type="textLength" operator="equal" allowBlank="1" showInputMessage="1" showErrorMessage="1" error="This cell should remain blank." sqref="E198">
      <formula1>0</formula1>
    </dataValidation>
    <dataValidation type="decimal" operator="greaterThanOrEqual" allowBlank="1" showInputMessage="1" showErrorMessage="1" errorTitle="Volume data error" error="The volume must be a non-negative number." sqref="E199:E201">
      <formula1>0</formula1>
    </dataValidation>
    <dataValidation type="textLength" operator="equal" allowBlank="1" showInputMessage="1" showErrorMessage="1" error="This cell should remain blank." sqref="E202">
      <formula1>0</formula1>
    </dataValidation>
    <dataValidation type="decimal" operator="greaterThanOrEqual" allowBlank="1" showInputMessage="1" showErrorMessage="1" errorTitle="Volume data error" error="The volume must be a non-negative number." sqref="E203:E205">
      <formula1>0</formula1>
    </dataValidation>
    <dataValidation type="textLength" operator="equal" allowBlank="1" showInputMessage="1" showErrorMessage="1" error="This cell should remain blank." sqref="E206">
      <formula1>0</formula1>
    </dataValidation>
    <dataValidation type="decimal" operator="greaterThanOrEqual" allowBlank="1" showInputMessage="1" showErrorMessage="1" errorTitle="Volume data error" error="The volume must be a non-negative number." sqref="E207:E209">
      <formula1>0</formula1>
    </dataValidation>
    <dataValidation type="textLength" operator="equal" allowBlank="1" showInputMessage="1" showErrorMessage="1" error="This cell should remain blank." sqref="E210">
      <formula1>0</formula1>
    </dataValidation>
    <dataValidation type="decimal" operator="greaterThanOrEqual" allowBlank="1" showInputMessage="1" showErrorMessage="1" errorTitle="Volume data error" error="The volume must be a non-negative number." sqref="E211">
      <formula1>0</formula1>
    </dataValidation>
    <dataValidation type="textLength" operator="equal" allowBlank="1" showInputMessage="1" showErrorMessage="1" error="This cell should remain blank." sqref="E212">
      <formula1>0</formula1>
    </dataValidation>
    <dataValidation type="decimal" operator="greaterThanOrEqual" allowBlank="1" showInputMessage="1" showErrorMessage="1" errorTitle="Volume data error" error="The volume must be a non-negative number." sqref="E213">
      <formula1>0</formula1>
    </dataValidation>
    <dataValidation type="textLength" operator="equal" allowBlank="1" showInputMessage="1" showErrorMessage="1" error="This cell should remain blank." sqref="E214">
      <formula1>0</formula1>
    </dataValidation>
    <dataValidation type="decimal" operator="greaterThanOrEqual" allowBlank="1" showInputMessage="1" showErrorMessage="1" errorTitle="Volume data error" error="The volume must be a non-negative number." sqref="E215:E217">
      <formula1>0</formula1>
    </dataValidation>
    <dataValidation type="textLength" operator="equal" allowBlank="1" showInputMessage="1" showErrorMessage="1" error="This cell should remain blank." sqref="E218">
      <formula1>0</formula1>
    </dataValidation>
    <dataValidation type="decimal" operator="greaterThanOrEqual" allowBlank="1" showInputMessage="1" showErrorMessage="1" errorTitle="Volume data error" error="The volume must be a non-negative number." sqref="E219:E220">
      <formula1>0</formula1>
    </dataValidation>
    <dataValidation type="textLength" operator="equal" allowBlank="1" showInputMessage="1" showErrorMessage="1" error="This cell should remain blank." sqref="E221">
      <formula1>0</formula1>
    </dataValidation>
    <dataValidation type="decimal" operator="greaterThanOrEqual" allowBlank="1" showInputMessage="1" showErrorMessage="1" errorTitle="Volume data error" error="The volume must be a non-negative number." sqref="E222:E223">
      <formula1>0</formula1>
    </dataValidation>
    <dataValidation type="textLength" operator="equal" allowBlank="1" showInputMessage="1" showErrorMessage="1" error="This cell should remain blank." sqref="E224">
      <formula1>0</formula1>
    </dataValidation>
    <dataValidation type="decimal" operator="greaterThanOrEqual" allowBlank="1" showInputMessage="1" showErrorMessage="1" errorTitle="Volume data error" error="The volume must be a non-negative number." sqref="E225:E227">
      <formula1>0</formula1>
    </dataValidation>
    <dataValidation type="textLength" operator="equal" allowBlank="1" showInputMessage="1" showErrorMessage="1" error="This cell should remain blank." sqref="E228">
      <formula1>0</formula1>
    </dataValidation>
    <dataValidation type="decimal" operator="greaterThanOrEqual" allowBlank="1" showInputMessage="1" showErrorMessage="1" errorTitle="Volume data error" error="The volume must be a non-negative number." sqref="E229:E231">
      <formula1>0</formula1>
    </dataValidation>
    <dataValidation type="textLength" operator="equal" allowBlank="1" showInputMessage="1" showErrorMessage="1" error="This cell should remain blank." sqref="E232">
      <formula1>0</formula1>
    </dataValidation>
    <dataValidation type="decimal" operator="greaterThanOrEqual" allowBlank="1" showInputMessage="1" showErrorMessage="1" errorTitle="Volume data error" error="The volume must be a non-negative number." sqref="E233:E235">
      <formula1>0</formula1>
    </dataValidation>
    <dataValidation type="textLength" operator="equal" allowBlank="1" showInputMessage="1" showErrorMessage="1" error="This cell should remain blank." sqref="E236">
      <formula1>0</formula1>
    </dataValidation>
    <dataValidation type="decimal" operator="greaterThanOrEqual" allowBlank="1" showInputMessage="1" showErrorMessage="1" errorTitle="Volume data error" error="The volume must be a non-negative number." sqref="E237:E239">
      <formula1>0</formula1>
    </dataValidation>
    <dataValidation type="textLength" operator="equal" allowBlank="1" showInputMessage="1" showErrorMessage="1" error="This cell should remain blank." sqref="E240">
      <formula1>0</formula1>
    </dataValidation>
    <dataValidation type="decimal" operator="greaterThanOrEqual" allowBlank="1" showInputMessage="1" showErrorMessage="1" errorTitle="Volume data error" error="The volume must be a non-negative number." sqref="E241:E243">
      <formula1>0</formula1>
    </dataValidation>
    <dataValidation type="textLength" operator="equal" allowBlank="1" showInputMessage="1" showErrorMessage="1" error="This cell should remain blank." sqref="E244">
      <formula1>0</formula1>
    </dataValidation>
    <dataValidation type="decimal" operator="greaterThanOrEqual" allowBlank="1" showInputMessage="1" showErrorMessage="1" errorTitle="Volume data error" error="The volume must be a non-negative number." sqref="E245:E247">
      <formula1>0</formula1>
    </dataValidation>
    <dataValidation type="textLength" operator="equal" allowBlank="1" showInputMessage="1" showErrorMessage="1" error="This cell should remain blank." sqref="E248">
      <formula1>0</formula1>
    </dataValidation>
    <dataValidation type="decimal" operator="greaterThanOrEqual" allowBlank="1" showInputMessage="1" showErrorMessage="1" errorTitle="Volume data error" error="The volume must be a non-negative number." sqref="E249:E250">
      <formula1>0</formula1>
    </dataValidation>
    <dataValidation type="textLength" operator="equal" allowBlank="1" showInputMessage="1" showErrorMessage="1" error="This cell should remain blank." sqref="E251">
      <formula1>0</formula1>
    </dataValidation>
    <dataValidation type="decimal" operator="greaterThanOrEqual" allowBlank="1" showInputMessage="1" showErrorMessage="1" errorTitle="Volume data error" error="The volume must be a non-negative number." sqref="E252:E254">
      <formula1>0</formula1>
    </dataValidation>
    <dataValidation type="textLength" operator="equal" allowBlank="1" showInputMessage="1" showErrorMessage="1" error="This cell should remain blank." sqref="E255">
      <formula1>0</formula1>
    </dataValidation>
    <dataValidation type="decimal" operator="greaterThanOrEqual" allowBlank="1" showInputMessage="1" showErrorMessage="1" errorTitle="Volume data error" error="The volume must be a non-negative number." sqref="E256:E258">
      <formula1>0</formula1>
    </dataValidation>
    <dataValidation type="textLength" operator="equal" allowBlank="1" showInputMessage="1" showErrorMessage="1" error="This cell should remain blank." sqref="E259">
      <formula1>0</formula1>
    </dataValidation>
    <dataValidation type="decimal" operator="greaterThanOrEqual" allowBlank="1" showInputMessage="1" showErrorMessage="1" errorTitle="Volume data error" error="The volume must be a non-negative number." sqref="E260:E261">
      <formula1>0</formula1>
    </dataValidation>
    <dataValidation type="textLength" operator="equal" allowBlank="1" showInputMessage="1" showErrorMessage="1" error="This cell should remain blank." sqref="E262">
      <formula1>0</formula1>
    </dataValidation>
    <dataValidation type="decimal" operator="greaterThanOrEqual" allowBlank="1" showInputMessage="1" showErrorMessage="1" errorTitle="Volume data error" error="The volume must be a non-negative number." sqref="E263:E264">
      <formula1>0</formula1>
    </dataValidation>
    <dataValidation type="textLength" operator="equal" allowBlank="1" showInputMessage="1" showErrorMessage="1" error="This cell should remain blank." sqref="E265">
      <formula1>0</formula1>
    </dataValidation>
    <dataValidation type="decimal" operator="greaterThanOrEqual" allowBlank="1" showInputMessage="1" showErrorMessage="1" errorTitle="Volume data error" error="The volume must be a non-negative number." sqref="E266:E267">
      <formula1>0</formula1>
    </dataValidation>
    <dataValidation type="textLength" operator="equal" allowBlank="1" showInputMessage="1" showErrorMessage="1" error="This cell should remain blank." sqref="E268">
      <formula1>0</formula1>
    </dataValidation>
    <dataValidation type="decimal" operator="greaterThanOrEqual" allowBlank="1" showInputMessage="1" showErrorMessage="1" errorTitle="Volume data error" error="The volume must be a non-negative number." sqref="E269:E270">
      <formula1>0</formula1>
    </dataValidation>
    <dataValidation type="textLength" operator="equal" allowBlank="1" showInputMessage="1" showErrorMessage="1" error="This cell should remain blank." sqref="F182">
      <formula1>0</formula1>
    </dataValidation>
    <dataValidation type="decimal" operator="greaterThanOrEqual" allowBlank="1" showInputMessage="1" showErrorMessage="1" errorTitle="Volume data error" error="The volume must be a non-negative number." sqref="F183:F185">
      <formula1>0</formula1>
    </dataValidation>
    <dataValidation type="textLength" operator="equal" allowBlank="1" showInputMessage="1" showErrorMessage="1" error="This cell should remain blank." sqref="F186">
      <formula1>0</formula1>
    </dataValidation>
    <dataValidation type="decimal" operator="greaterThanOrEqual" allowBlank="1" showInputMessage="1" showErrorMessage="1" errorTitle="Volume data error" error="The volume must be a non-negative number." sqref="F187:F189">
      <formula1>0</formula1>
    </dataValidation>
    <dataValidation type="textLength" operator="equal" allowBlank="1" showInputMessage="1" showErrorMessage="1" error="This cell should remain blank." sqref="F190">
      <formula1>0</formula1>
    </dataValidation>
    <dataValidation type="decimal" operator="greaterThanOrEqual" allowBlank="1" showInputMessage="1" showErrorMessage="1" errorTitle="Volume data error" error="The volume must be a non-negative number." sqref="F191:F193">
      <formula1>0</formula1>
    </dataValidation>
    <dataValidation type="textLength" operator="equal" allowBlank="1" showInputMessage="1" showErrorMessage="1" error="This cell should remain blank." sqref="F194">
      <formula1>0</formula1>
    </dataValidation>
    <dataValidation type="decimal" operator="greaterThanOrEqual" allowBlank="1" showInputMessage="1" showErrorMessage="1" errorTitle="Volume data error" error="The volume must be a non-negative number." sqref="F195:F197">
      <formula1>0</formula1>
    </dataValidation>
    <dataValidation type="textLength" operator="equal" allowBlank="1" showInputMessage="1" showErrorMessage="1" error="This cell should remain blank." sqref="F198">
      <formula1>0</formula1>
    </dataValidation>
    <dataValidation type="decimal" operator="greaterThanOrEqual" allowBlank="1" showInputMessage="1" showErrorMessage="1" errorTitle="Volume data error" error="The volume must be a non-negative number." sqref="F199:F201">
      <formula1>0</formula1>
    </dataValidation>
    <dataValidation type="textLength" operator="equal" allowBlank="1" showInputMessage="1" showErrorMessage="1" error="This cell should remain blank." sqref="F202">
      <formula1>0</formula1>
    </dataValidation>
    <dataValidation type="decimal" operator="greaterThanOrEqual" allowBlank="1" showInputMessage="1" showErrorMessage="1" errorTitle="Volume data error" error="The volume must be a non-negative number." sqref="F203:F205">
      <formula1>0</formula1>
    </dataValidation>
    <dataValidation type="textLength" operator="equal" allowBlank="1" showInputMessage="1" showErrorMessage="1" error="This cell should remain blank." sqref="F206">
      <formula1>0</formula1>
    </dataValidation>
    <dataValidation type="decimal" operator="greaterThanOrEqual" allowBlank="1" showInputMessage="1" showErrorMessage="1" errorTitle="Volume data error" error="The volume must be a non-negative number." sqref="F207:F209">
      <formula1>0</formula1>
    </dataValidation>
    <dataValidation type="textLength" operator="equal" allowBlank="1" showInputMessage="1" showErrorMessage="1" error="This cell should remain blank." sqref="F210">
      <formula1>0</formula1>
    </dataValidation>
    <dataValidation type="decimal" operator="greaterThanOrEqual" allowBlank="1" showInputMessage="1" showErrorMessage="1" errorTitle="Volume data error" error="The volume must be a non-negative number." sqref="F211">
      <formula1>0</formula1>
    </dataValidation>
    <dataValidation type="textLength" operator="equal" allowBlank="1" showInputMessage="1" showErrorMessage="1" error="This cell should remain blank." sqref="F212">
      <formula1>0</formula1>
    </dataValidation>
    <dataValidation type="decimal" operator="greaterThanOrEqual" allowBlank="1" showInputMessage="1" showErrorMessage="1" errorTitle="Volume data error" error="The volume must be a non-negative number." sqref="F213">
      <formula1>0</formula1>
    </dataValidation>
    <dataValidation type="textLength" operator="equal" allowBlank="1" showInputMessage="1" showErrorMessage="1" error="This cell should remain blank." sqref="F214">
      <formula1>0</formula1>
    </dataValidation>
    <dataValidation type="decimal" operator="greaterThanOrEqual" allowBlank="1" showInputMessage="1" showErrorMessage="1" errorTitle="Volume data error" error="The volume must be a non-negative number." sqref="F215:F217">
      <formula1>0</formula1>
    </dataValidation>
    <dataValidation type="textLength" operator="equal" allowBlank="1" showInputMessage="1" showErrorMessage="1" error="This cell should remain blank." sqref="F218">
      <formula1>0</formula1>
    </dataValidation>
    <dataValidation type="decimal" operator="greaterThanOrEqual" allowBlank="1" showInputMessage="1" showErrorMessage="1" errorTitle="Volume data error" error="The volume must be a non-negative number." sqref="F219:F220">
      <formula1>0</formula1>
    </dataValidation>
    <dataValidation type="textLength" operator="equal" allowBlank="1" showInputMessage="1" showErrorMessage="1" error="This cell should remain blank." sqref="F221">
      <formula1>0</formula1>
    </dataValidation>
    <dataValidation type="decimal" operator="greaterThanOrEqual" allowBlank="1" showInputMessage="1" showErrorMessage="1" errorTitle="Volume data error" error="The volume must be a non-negative number." sqref="F222:F223">
      <formula1>0</formula1>
    </dataValidation>
    <dataValidation type="textLength" operator="equal" allowBlank="1" showInputMessage="1" showErrorMessage="1" error="This cell should remain blank." sqref="F224">
      <formula1>0</formula1>
    </dataValidation>
    <dataValidation type="decimal" operator="greaterThanOrEqual" allowBlank="1" showInputMessage="1" showErrorMessage="1" errorTitle="Volume data error" error="The volume must be a non-negative number." sqref="F225:F227">
      <formula1>0</formula1>
    </dataValidation>
    <dataValidation type="textLength" operator="equal" allowBlank="1" showInputMessage="1" showErrorMessage="1" error="This cell should remain blank." sqref="F228">
      <formula1>0</formula1>
    </dataValidation>
    <dataValidation type="decimal" operator="greaterThanOrEqual" allowBlank="1" showInputMessage="1" showErrorMessage="1" errorTitle="Volume data error" error="The volume must be a non-negative number." sqref="F229:F231">
      <formula1>0</formula1>
    </dataValidation>
    <dataValidation type="textLength" operator="equal" allowBlank="1" showInputMessage="1" showErrorMessage="1" error="This cell should remain blank." sqref="F232">
      <formula1>0</formula1>
    </dataValidation>
    <dataValidation type="decimal" operator="greaterThanOrEqual" allowBlank="1" showInputMessage="1" showErrorMessage="1" errorTitle="Volume data error" error="The volume must be a non-negative number." sqref="F233:F235">
      <formula1>0</formula1>
    </dataValidation>
    <dataValidation type="textLength" operator="equal" allowBlank="1" showInputMessage="1" showErrorMessage="1" error="This cell should remain blank." sqref="F236">
      <formula1>0</formula1>
    </dataValidation>
    <dataValidation type="decimal" operator="greaterThanOrEqual" allowBlank="1" showInputMessage="1" showErrorMessage="1" errorTitle="Volume data error" error="The volume must be a non-negative number." sqref="F237:F239">
      <formula1>0</formula1>
    </dataValidation>
    <dataValidation type="textLength" operator="equal" allowBlank="1" showInputMessage="1" showErrorMessage="1" error="This cell should remain blank." sqref="F240">
      <formula1>0</formula1>
    </dataValidation>
    <dataValidation type="decimal" operator="greaterThanOrEqual" allowBlank="1" showInputMessage="1" showErrorMessage="1" errorTitle="Volume data error" error="The volume must be a non-negative number." sqref="F241:F243">
      <formula1>0</formula1>
    </dataValidation>
    <dataValidation type="textLength" operator="equal" allowBlank="1" showInputMessage="1" showErrorMessage="1" error="This cell should remain blank." sqref="F244">
      <formula1>0</formula1>
    </dataValidation>
    <dataValidation type="decimal" operator="greaterThanOrEqual" allowBlank="1" showInputMessage="1" showErrorMessage="1" errorTitle="Volume data error" error="The volume must be a non-negative number." sqref="F245:F247">
      <formula1>0</formula1>
    </dataValidation>
    <dataValidation type="textLength" operator="equal" allowBlank="1" showInputMessage="1" showErrorMessage="1" error="This cell should remain blank." sqref="F248">
      <formula1>0</formula1>
    </dataValidation>
    <dataValidation type="decimal" operator="greaterThanOrEqual" allowBlank="1" showInputMessage="1" showErrorMessage="1" errorTitle="Volume data error" error="The volume must be a non-negative number." sqref="F249:F250">
      <formula1>0</formula1>
    </dataValidation>
    <dataValidation type="textLength" operator="equal" allowBlank="1" showInputMessage="1" showErrorMessage="1" error="This cell should remain blank." sqref="F251">
      <formula1>0</formula1>
    </dataValidation>
    <dataValidation type="decimal" operator="greaterThanOrEqual" allowBlank="1" showInputMessage="1" showErrorMessage="1" errorTitle="Volume data error" error="The volume must be a non-negative number." sqref="F252:F254">
      <formula1>0</formula1>
    </dataValidation>
    <dataValidation type="textLength" operator="equal" allowBlank="1" showInputMessage="1" showErrorMessage="1" error="This cell should remain blank." sqref="F255">
      <formula1>0</formula1>
    </dataValidation>
    <dataValidation type="decimal" operator="greaterThanOrEqual" allowBlank="1" showInputMessage="1" showErrorMessage="1" errorTitle="Volume data error" error="The volume must be a non-negative number." sqref="F256:F258">
      <formula1>0</formula1>
    </dataValidation>
    <dataValidation type="textLength" operator="equal" allowBlank="1" showInputMessage="1" showErrorMessage="1" error="This cell should remain blank." sqref="F259">
      <formula1>0</formula1>
    </dataValidation>
    <dataValidation type="decimal" operator="greaterThanOrEqual" allowBlank="1" showInputMessage="1" showErrorMessage="1" errorTitle="Volume data error" error="The volume must be a non-negative number." sqref="F260:F261">
      <formula1>0</formula1>
    </dataValidation>
    <dataValidation type="textLength" operator="equal" allowBlank="1" showInputMessage="1" showErrorMessage="1" error="This cell should remain blank." sqref="F262">
      <formula1>0</formula1>
    </dataValidation>
    <dataValidation type="decimal" operator="greaterThanOrEqual" allowBlank="1" showInputMessage="1" showErrorMessage="1" errorTitle="Volume data error" error="The volume must be a non-negative number." sqref="F263:F264">
      <formula1>0</formula1>
    </dataValidation>
    <dataValidation type="textLength" operator="equal" allowBlank="1" showInputMessage="1" showErrorMessage="1" error="This cell should remain blank." sqref="F265">
      <formula1>0</formula1>
    </dataValidation>
    <dataValidation type="decimal" operator="greaterThanOrEqual" allowBlank="1" showInputMessage="1" showErrorMessage="1" errorTitle="Volume data error" error="The volume must be a non-negative number." sqref="F266:F267">
      <formula1>0</formula1>
    </dataValidation>
    <dataValidation type="textLength" operator="equal" allowBlank="1" showInputMessage="1" showErrorMessage="1" error="This cell should remain blank." sqref="F268">
      <formula1>0</formula1>
    </dataValidation>
    <dataValidation type="decimal" operator="greaterThanOrEqual" allowBlank="1" showInputMessage="1" showErrorMessage="1" errorTitle="Volume data error" error="The volume must be a non-negative number." sqref="F269:F270">
      <formula1>0</formula1>
    </dataValidation>
    <dataValidation type="textLength" operator="equal" allowBlank="1" showInputMessage="1" showErrorMessage="1" error="This cell should remain blank." sqref="G182">
      <formula1>0</formula1>
    </dataValidation>
    <dataValidation type="decimal" operator="greaterThanOrEqual" allowBlank="1" showInputMessage="1" showErrorMessage="1" errorTitle="Volume data error" error="The volume must be a non-negative number." sqref="G183:G185">
      <formula1>0</formula1>
    </dataValidation>
    <dataValidation type="textLength" operator="equal" allowBlank="1" showInputMessage="1" showErrorMessage="1" error="This cell should remain blank." sqref="G186">
      <formula1>0</formula1>
    </dataValidation>
    <dataValidation type="decimal" operator="greaterThanOrEqual" allowBlank="1" showInputMessage="1" showErrorMessage="1" errorTitle="Volume data error" error="The volume must be a non-negative number." sqref="G187:G189">
      <formula1>0</formula1>
    </dataValidation>
    <dataValidation type="textLength" operator="equal" allowBlank="1" showInputMessage="1" showErrorMessage="1" error="This cell should remain blank." sqref="G190">
      <formula1>0</formula1>
    </dataValidation>
    <dataValidation type="decimal" operator="greaterThanOrEqual" allowBlank="1" showInputMessage="1" showErrorMessage="1" errorTitle="Volume data error" error="The volume must be a non-negative number." sqref="G191:G193">
      <formula1>0</formula1>
    </dataValidation>
    <dataValidation type="textLength" operator="equal" allowBlank="1" showInputMessage="1" showErrorMessage="1" error="This cell should remain blank." sqref="G194">
      <formula1>0</formula1>
    </dataValidation>
    <dataValidation type="decimal" operator="greaterThanOrEqual" allowBlank="1" showInputMessage="1" showErrorMessage="1" errorTitle="Volume data error" error="The volume must be a non-negative number." sqref="G195:G197">
      <formula1>0</formula1>
    </dataValidation>
    <dataValidation type="textLength" operator="equal" allowBlank="1" showInputMessage="1" showErrorMessage="1" error="This cell should remain blank." sqref="G198">
      <formula1>0</formula1>
    </dataValidation>
    <dataValidation type="decimal" operator="greaterThanOrEqual" allowBlank="1" showInputMessage="1" showErrorMessage="1" errorTitle="Volume data error" error="The volume must be a non-negative number." sqref="G199:G201">
      <formula1>0</formula1>
    </dataValidation>
    <dataValidation type="textLength" operator="equal" allowBlank="1" showInputMessage="1" showErrorMessage="1" error="This cell should remain blank." sqref="G202">
      <formula1>0</formula1>
    </dataValidation>
    <dataValidation type="decimal" operator="greaterThanOrEqual" allowBlank="1" showInputMessage="1" showErrorMessage="1" errorTitle="Volume data error" error="The volume must be a non-negative number." sqref="G203:G205">
      <formula1>0</formula1>
    </dataValidation>
    <dataValidation type="textLength" operator="equal" allowBlank="1" showInputMessage="1" showErrorMessage="1" error="This cell should remain blank." sqref="G206">
      <formula1>0</formula1>
    </dataValidation>
    <dataValidation type="decimal" operator="greaterThanOrEqual" allowBlank="1" showInputMessage="1" showErrorMessage="1" errorTitle="Volume data error" error="The volume must be a non-negative number." sqref="G207:G209">
      <formula1>0</formula1>
    </dataValidation>
    <dataValidation type="textLength" operator="equal" allowBlank="1" showInputMessage="1" showErrorMessage="1" error="This cell should remain blank." sqref="G210">
      <formula1>0</formula1>
    </dataValidation>
    <dataValidation type="decimal" operator="greaterThanOrEqual" allowBlank="1" showInputMessage="1" showErrorMessage="1" errorTitle="Volume data error" error="The volume must be a non-negative number." sqref="G211">
      <formula1>0</formula1>
    </dataValidation>
    <dataValidation type="textLength" operator="equal" allowBlank="1" showInputMessage="1" showErrorMessage="1" error="This cell should remain blank." sqref="G212">
      <formula1>0</formula1>
    </dataValidation>
    <dataValidation type="decimal" operator="greaterThanOrEqual" allowBlank="1" showInputMessage="1" showErrorMessage="1" errorTitle="Volume data error" error="The volume must be a non-negative number." sqref="G213">
      <formula1>0</formula1>
    </dataValidation>
    <dataValidation type="textLength" operator="equal" allowBlank="1" showInputMessage="1" showErrorMessage="1" error="This cell should remain blank." sqref="G214">
      <formula1>0</formula1>
    </dataValidation>
    <dataValidation type="decimal" operator="greaterThanOrEqual" allowBlank="1" showInputMessage="1" showErrorMessage="1" errorTitle="Volume data error" error="The volume must be a non-negative number." sqref="G215:G217">
      <formula1>0</formula1>
    </dataValidation>
    <dataValidation type="textLength" operator="equal" allowBlank="1" showInputMessage="1" showErrorMessage="1" error="This cell should remain blank." sqref="G218">
      <formula1>0</formula1>
    </dataValidation>
    <dataValidation type="decimal" operator="greaterThanOrEqual" allowBlank="1" showInputMessage="1" showErrorMessage="1" errorTitle="Volume data error" error="The volume must be a non-negative number." sqref="G219:G220">
      <formula1>0</formula1>
    </dataValidation>
    <dataValidation type="textLength" operator="equal" allowBlank="1" showInputMessage="1" showErrorMessage="1" error="This cell should remain blank." sqref="G221">
      <formula1>0</formula1>
    </dataValidation>
    <dataValidation type="decimal" operator="greaterThanOrEqual" allowBlank="1" showInputMessage="1" showErrorMessage="1" errorTitle="Volume data error" error="The volume must be a non-negative number." sqref="G222:G223">
      <formula1>0</formula1>
    </dataValidation>
    <dataValidation type="textLength" operator="equal" allowBlank="1" showInputMessage="1" showErrorMessage="1" error="This cell should remain blank." sqref="G224">
      <formula1>0</formula1>
    </dataValidation>
    <dataValidation type="decimal" operator="greaterThanOrEqual" allowBlank="1" showInputMessage="1" showErrorMessage="1" errorTitle="Volume data error" error="The volume must be a non-negative number." sqref="G225:G227">
      <formula1>0</formula1>
    </dataValidation>
    <dataValidation type="textLength" operator="equal" allowBlank="1" showInputMessage="1" showErrorMessage="1" error="This cell should remain blank." sqref="G228">
      <formula1>0</formula1>
    </dataValidation>
    <dataValidation type="decimal" operator="greaterThanOrEqual" allowBlank="1" showInputMessage="1" showErrorMessage="1" errorTitle="Volume data error" error="The volume must be a non-negative number." sqref="G229:G231">
      <formula1>0</formula1>
    </dataValidation>
    <dataValidation type="textLength" operator="equal" allowBlank="1" showInputMessage="1" showErrorMessage="1" error="This cell should remain blank." sqref="G232">
      <formula1>0</formula1>
    </dataValidation>
    <dataValidation type="decimal" operator="greaterThanOrEqual" allowBlank="1" showInputMessage="1" showErrorMessage="1" errorTitle="Volume data error" error="The volume must be a non-negative number." sqref="G233:G235">
      <formula1>0</formula1>
    </dataValidation>
    <dataValidation type="textLength" operator="equal" allowBlank="1" showInputMessage="1" showErrorMessage="1" error="This cell should remain blank." sqref="G236">
      <formula1>0</formula1>
    </dataValidation>
    <dataValidation type="decimal" operator="greaterThanOrEqual" allowBlank="1" showInputMessage="1" showErrorMessage="1" errorTitle="Volume data error" error="The volume must be a non-negative number." sqref="G237:G239">
      <formula1>0</formula1>
    </dataValidation>
    <dataValidation type="textLength" operator="equal" allowBlank="1" showInputMessage="1" showErrorMessage="1" error="This cell should remain blank." sqref="G240">
      <formula1>0</formula1>
    </dataValidation>
    <dataValidation type="decimal" operator="greaterThanOrEqual" allowBlank="1" showInputMessage="1" showErrorMessage="1" errorTitle="Volume data error" error="The volume must be a non-negative number." sqref="G241:G243">
      <formula1>0</formula1>
    </dataValidation>
    <dataValidation type="textLength" operator="equal" allowBlank="1" showInputMessage="1" showErrorMessage="1" error="This cell should remain blank." sqref="G244">
      <formula1>0</formula1>
    </dataValidation>
    <dataValidation type="decimal" operator="greaterThanOrEqual" allowBlank="1" showInputMessage="1" showErrorMessage="1" errorTitle="Volume data error" error="The volume must be a non-negative number." sqref="G245:G247">
      <formula1>0</formula1>
    </dataValidation>
    <dataValidation type="textLength" operator="equal" allowBlank="1" showInputMessage="1" showErrorMessage="1" error="This cell should remain blank." sqref="G248">
      <formula1>0</formula1>
    </dataValidation>
    <dataValidation type="decimal" operator="greaterThanOrEqual" allowBlank="1" showInputMessage="1" showErrorMessage="1" errorTitle="Volume data error" error="The volume must be a non-negative number." sqref="G249:G250">
      <formula1>0</formula1>
    </dataValidation>
    <dataValidation type="textLength" operator="equal" allowBlank="1" showInputMessage="1" showErrorMessage="1" error="This cell should remain blank." sqref="G251">
      <formula1>0</formula1>
    </dataValidation>
    <dataValidation type="decimal" operator="greaterThanOrEqual" allowBlank="1" showInputMessage="1" showErrorMessage="1" errorTitle="Volume data error" error="The volume must be a non-negative number." sqref="G252:G254">
      <formula1>0</formula1>
    </dataValidation>
    <dataValidation type="textLength" operator="equal" allowBlank="1" showInputMessage="1" showErrorMessage="1" error="This cell should remain blank." sqref="G255">
      <formula1>0</formula1>
    </dataValidation>
    <dataValidation type="decimal" operator="greaterThanOrEqual" allowBlank="1" showInputMessage="1" showErrorMessage="1" errorTitle="Volume data error" error="The volume must be a non-negative number." sqref="G256:G258">
      <formula1>0</formula1>
    </dataValidation>
    <dataValidation type="textLength" operator="equal" allowBlank="1" showInputMessage="1" showErrorMessage="1" error="This cell should remain blank." sqref="G259">
      <formula1>0</formula1>
    </dataValidation>
    <dataValidation type="decimal" operator="greaterThanOrEqual" allowBlank="1" showInputMessage="1" showErrorMessage="1" errorTitle="Volume data error" error="The volume must be a non-negative number." sqref="G260:G261">
      <formula1>0</formula1>
    </dataValidation>
    <dataValidation type="textLength" operator="equal" allowBlank="1" showInputMessage="1" showErrorMessage="1" error="This cell should remain blank." sqref="G262">
      <formula1>0</formula1>
    </dataValidation>
    <dataValidation type="decimal" operator="greaterThanOrEqual" allowBlank="1" showInputMessage="1" showErrorMessage="1" errorTitle="Volume data error" error="The volume must be a non-negative number." sqref="G263:G264">
      <formula1>0</formula1>
    </dataValidation>
    <dataValidation type="textLength" operator="equal" allowBlank="1" showInputMessage="1" showErrorMessage="1" error="This cell should remain blank." sqref="G265">
      <formula1>0</formula1>
    </dataValidation>
    <dataValidation type="decimal" operator="greaterThanOrEqual" allowBlank="1" showInputMessage="1" showErrorMessage="1" errorTitle="Volume data error" error="The volume must be a non-negative number." sqref="G266:G267">
      <formula1>0</formula1>
    </dataValidation>
    <dataValidation type="textLength" operator="equal" allowBlank="1" showInputMessage="1" showErrorMessage="1" error="This cell should remain blank." sqref="G268">
      <formula1>0</formula1>
    </dataValidation>
    <dataValidation type="decimal" operator="greaterThanOrEqual" allowBlank="1" showInputMessage="1" showErrorMessage="1" errorTitle="Volume data error" error="The volume must be a non-negative number." sqref="G269:G270">
      <formula1>0</formula1>
    </dataValidation>
    <dataValidation type="decimal" operator="greaterThanOrEqual" allowBlank="1" showInputMessage="1" showErrorMessage="1" sqref="B276">
      <formula1>0</formula1>
    </dataValidation>
    <dataValidation type="decimal" operator="greaterThanOrEqual" allowBlank="1" showInputMessage="1" showErrorMessage="1" sqref="B281">
      <formula1>0</formula1>
    </dataValidation>
    <dataValidation type="decimal" operator="greaterThanOrEqual" allowBlank="1" showInputMessage="1" showErrorMessage="1" sqref="C281">
      <formula1>0</formula1>
    </dataValidation>
    <dataValidation type="decimal" allowBlank="1" showInputMessage="1" showErrorMessage="1" sqref="D281">
      <formula1>0</formula1>
      <formula2>1</formula2>
    </dataValidation>
    <dataValidation type="decimal" operator="greaterThanOrEqual" allowBlank="1" showInputMessage="1" showErrorMessage="1" sqref="E281">
      <formula1>0</formula1>
    </dataValidation>
    <dataValidation type="decimal" allowBlank="1" showInputMessage="1" showErrorMessage="1" errorTitle="Invalid customer contribution" error="The customer contribution must be a non-negative percentage value." sqref="B289:I292">
      <formula1>0</formula1>
      <formula2>4</formula2>
    </dataValidation>
    <dataValidation type="decimal" allowBlank="1" showInputMessage="1" showErrorMessage="1" sqref="B297:D303">
      <formula1>0</formula1>
      <formula2>1</formula2>
    </dataValidation>
    <dataValidation type="decimal" allowBlank="1" showInputMessage="1" showErrorMessage="1" sqref="B308:D312">
      <formula1>0</formula1>
      <formula2>1</formula2>
    </dataValidation>
    <dataValidation type="decimal" allowBlank="1" showInputMessage="1" showErrorMessage="1" sqref="B317:D320">
      <formula1>0</formula1>
      <formula2>1</formula2>
    </dataValidation>
    <dataValidation type="decimal" operator="greaterThanOrEqual" allowBlank="1" showInputMessage="1" showErrorMessage="1" sqref="B327:D327">
      <formula1>0</formula1>
    </dataValidation>
    <dataValidation type="decimal" operator="greaterThanOrEqual" allowBlank="1" showInputMessage="1" showErrorMessage="1" sqref="B334:D334">
      <formula1>0</formula1>
    </dataValidation>
    <dataValidation type="decimal" allowBlank="1" showInputMessage="1" showErrorMessage="1" sqref="B341:D349">
      <formula1>0</formula1>
      <formula2>1</formula2>
    </dataValidation>
    <dataValidation type="decimal" allowBlank="1" showInputMessage="1" showErrorMessage="1" sqref="E341:E349">
      <formula1>0</formula1>
      <formula2>1</formula2>
    </dataValidation>
    <dataValidation type="decimal" allowBlank="1" showInputMessage="1" showErrorMessage="1" sqref="B356:J356">
      <formula1>0</formula1>
      <formula2>1</formula2>
    </dataValidation>
  </dataValidation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1">
      <c r="A1" s="1">
        <f>"Tariffs"&amp;" for "&amp;'Input'!B7&amp;" in "&amp;'Input'!C7&amp;" ("&amp;'Input'!D7&amp;")"</f>
        <v>0</v>
      </c>
    </row>
    <row r="3" spans="1:11">
      <c r="A3" s="1" t="s">
        <v>1487</v>
      </c>
    </row>
    <row r="4" spans="1:11">
      <c r="A4" s="2" t="s">
        <v>349</v>
      </c>
    </row>
    <row r="5" spans="1:11">
      <c r="A5" s="12" t="s">
        <v>1488</v>
      </c>
    </row>
    <row r="6" spans="1:11">
      <c r="A6" s="12" t="s">
        <v>1489</v>
      </c>
    </row>
    <row r="7" spans="1:11">
      <c r="A7" s="12" t="s">
        <v>1490</v>
      </c>
    </row>
    <row r="8" spans="1:11">
      <c r="A8" s="12" t="s">
        <v>1491</v>
      </c>
    </row>
    <row r="9" spans="1:11">
      <c r="A9" s="12" t="s">
        <v>1492</v>
      </c>
    </row>
    <row r="10" spans="1:11">
      <c r="A10" s="12" t="s">
        <v>1493</v>
      </c>
    </row>
    <row r="11" spans="1:11">
      <c r="A11" s="26" t="s">
        <v>352</v>
      </c>
      <c r="B11" s="26" t="s">
        <v>1494</v>
      </c>
      <c r="C11" s="26" t="s">
        <v>353</v>
      </c>
      <c r="D11" s="26" t="s">
        <v>411</v>
      </c>
      <c r="E11" s="26" t="s">
        <v>411</v>
      </c>
      <c r="F11" s="26" t="s">
        <v>411</v>
      </c>
      <c r="G11" s="26" t="s">
        <v>411</v>
      </c>
      <c r="H11" s="26" t="s">
        <v>411</v>
      </c>
      <c r="I11" s="26" t="s">
        <v>411</v>
      </c>
      <c r="J11" s="26" t="s">
        <v>1494</v>
      </c>
    </row>
    <row r="12" spans="1:11">
      <c r="A12" s="26" t="s">
        <v>355</v>
      </c>
      <c r="B12" s="26" t="s">
        <v>356</v>
      </c>
      <c r="C12" s="26" t="s">
        <v>356</v>
      </c>
      <c r="D12" s="26" t="s">
        <v>955</v>
      </c>
      <c r="E12" s="26" t="s">
        <v>414</v>
      </c>
      <c r="F12" s="26" t="s">
        <v>1495</v>
      </c>
      <c r="G12" s="26" t="s">
        <v>1496</v>
      </c>
      <c r="H12" s="26" t="s">
        <v>841</v>
      </c>
      <c r="I12" s="26" t="s">
        <v>1497</v>
      </c>
      <c r="J12" s="26" t="s">
        <v>356</v>
      </c>
    </row>
    <row r="14" spans="1:11">
      <c r="B14" s="3" t="s">
        <v>1498</v>
      </c>
      <c r="C14" s="3" t="s">
        <v>1499</v>
      </c>
      <c r="D14" s="3" t="s">
        <v>1416</v>
      </c>
      <c r="E14" s="3" t="s">
        <v>1417</v>
      </c>
      <c r="F14" s="3" t="s">
        <v>1418</v>
      </c>
      <c r="G14" s="3" t="s">
        <v>1419</v>
      </c>
      <c r="H14" s="3" t="s">
        <v>1420</v>
      </c>
      <c r="I14" s="3" t="s">
        <v>1047</v>
      </c>
      <c r="J14" s="3" t="s">
        <v>1500</v>
      </c>
    </row>
    <row r="15" spans="1:11">
      <c r="A15" s="11" t="s">
        <v>172</v>
      </c>
      <c r="B15" s="13" t="s">
        <v>5</v>
      </c>
      <c r="C15" s="36">
        <v>1</v>
      </c>
      <c r="D15" s="7">
        <f>'Adjust'!B$215</f>
        <v>0</v>
      </c>
      <c r="E15" s="7">
        <f>'Adjust'!C$215</f>
        <v>0</v>
      </c>
      <c r="F15" s="7">
        <f>'Adjust'!D$215</f>
        <v>0</v>
      </c>
      <c r="G15" s="35">
        <f>'Adjust'!E$215</f>
        <v>0</v>
      </c>
      <c r="H15" s="35">
        <f>'Adjust'!F$215</f>
        <v>0</v>
      </c>
      <c r="I15" s="7">
        <f>'Adjust'!G$215</f>
        <v>0</v>
      </c>
      <c r="J15" s="13" t="s">
        <v>5</v>
      </c>
      <c r="K15" s="10"/>
    </row>
    <row r="16" spans="1:11">
      <c r="A16" s="11" t="s">
        <v>173</v>
      </c>
      <c r="B16" s="13" t="s">
        <v>5</v>
      </c>
      <c r="C16" s="36">
        <v>2</v>
      </c>
      <c r="D16" s="7">
        <f>'Adjust'!B$219</f>
        <v>0</v>
      </c>
      <c r="E16" s="7">
        <f>'Adjust'!C$219</f>
        <v>0</v>
      </c>
      <c r="F16" s="7">
        <f>'Adjust'!D$219</f>
        <v>0</v>
      </c>
      <c r="G16" s="35">
        <f>'Adjust'!E$219</f>
        <v>0</v>
      </c>
      <c r="H16" s="35">
        <f>'Adjust'!F$219</f>
        <v>0</v>
      </c>
      <c r="I16" s="7">
        <f>'Adjust'!G$219</f>
        <v>0</v>
      </c>
      <c r="J16" s="13" t="s">
        <v>5</v>
      </c>
      <c r="K16" s="10"/>
    </row>
    <row r="17" spans="1:11">
      <c r="A17" s="11" t="s">
        <v>210</v>
      </c>
      <c r="B17" s="13" t="s">
        <v>5</v>
      </c>
      <c r="C17" s="36">
        <v>2</v>
      </c>
      <c r="D17" s="7">
        <f>'Adjust'!B$223</f>
        <v>0</v>
      </c>
      <c r="E17" s="7">
        <f>'Adjust'!C$223</f>
        <v>0</v>
      </c>
      <c r="F17" s="7">
        <f>'Adjust'!D$223</f>
        <v>0</v>
      </c>
      <c r="G17" s="35">
        <f>'Adjust'!E$223</f>
        <v>0</v>
      </c>
      <c r="H17" s="35">
        <f>'Adjust'!F$223</f>
        <v>0</v>
      </c>
      <c r="I17" s="7">
        <f>'Adjust'!G$223</f>
        <v>0</v>
      </c>
      <c r="J17" s="13" t="s">
        <v>5</v>
      </c>
      <c r="K17" s="10"/>
    </row>
    <row r="18" spans="1:11">
      <c r="A18" s="11" t="s">
        <v>174</v>
      </c>
      <c r="B18" s="13" t="s">
        <v>5</v>
      </c>
      <c r="C18" s="36">
        <v>3</v>
      </c>
      <c r="D18" s="7">
        <f>'Adjust'!B$227</f>
        <v>0</v>
      </c>
      <c r="E18" s="7">
        <f>'Adjust'!C$227</f>
        <v>0</v>
      </c>
      <c r="F18" s="7">
        <f>'Adjust'!D$227</f>
        <v>0</v>
      </c>
      <c r="G18" s="35">
        <f>'Adjust'!E$227</f>
        <v>0</v>
      </c>
      <c r="H18" s="35">
        <f>'Adjust'!F$227</f>
        <v>0</v>
      </c>
      <c r="I18" s="7">
        <f>'Adjust'!G$227</f>
        <v>0</v>
      </c>
      <c r="J18" s="13" t="s">
        <v>5</v>
      </c>
      <c r="K18" s="10"/>
    </row>
    <row r="19" spans="1:11">
      <c r="A19" s="11" t="s">
        <v>175</v>
      </c>
      <c r="B19" s="13" t="s">
        <v>5</v>
      </c>
      <c r="C19" s="36">
        <v>4</v>
      </c>
      <c r="D19" s="7">
        <f>'Adjust'!B$231</f>
        <v>0</v>
      </c>
      <c r="E19" s="7">
        <f>'Adjust'!C$231</f>
        <v>0</v>
      </c>
      <c r="F19" s="7">
        <f>'Adjust'!D$231</f>
        <v>0</v>
      </c>
      <c r="G19" s="35">
        <f>'Adjust'!E$231</f>
        <v>0</v>
      </c>
      <c r="H19" s="35">
        <f>'Adjust'!F$231</f>
        <v>0</v>
      </c>
      <c r="I19" s="7">
        <f>'Adjust'!G$231</f>
        <v>0</v>
      </c>
      <c r="J19" s="13" t="s">
        <v>5</v>
      </c>
      <c r="K19" s="10"/>
    </row>
    <row r="20" spans="1:11">
      <c r="A20" s="11" t="s">
        <v>211</v>
      </c>
      <c r="B20" s="13" t="s">
        <v>5</v>
      </c>
      <c r="C20" s="36">
        <v>4</v>
      </c>
      <c r="D20" s="7">
        <f>'Adjust'!B$235</f>
        <v>0</v>
      </c>
      <c r="E20" s="7">
        <f>'Adjust'!C$235</f>
        <v>0</v>
      </c>
      <c r="F20" s="7">
        <f>'Adjust'!D$235</f>
        <v>0</v>
      </c>
      <c r="G20" s="35">
        <f>'Adjust'!E$235</f>
        <v>0</v>
      </c>
      <c r="H20" s="35">
        <f>'Adjust'!F$235</f>
        <v>0</v>
      </c>
      <c r="I20" s="7">
        <f>'Adjust'!G$235</f>
        <v>0</v>
      </c>
      <c r="J20" s="13" t="s">
        <v>5</v>
      </c>
      <c r="K20" s="10"/>
    </row>
    <row r="21" spans="1:11">
      <c r="A21" s="11" t="s">
        <v>176</v>
      </c>
      <c r="B21" s="13" t="s">
        <v>5</v>
      </c>
      <c r="C21" s="36" t="s">
        <v>1501</v>
      </c>
      <c r="D21" s="7">
        <f>'Adjust'!B$239</f>
        <v>0</v>
      </c>
      <c r="E21" s="7">
        <f>'Adjust'!C$239</f>
        <v>0</v>
      </c>
      <c r="F21" s="7">
        <f>'Adjust'!D$239</f>
        <v>0</v>
      </c>
      <c r="G21" s="35">
        <f>'Adjust'!E$239</f>
        <v>0</v>
      </c>
      <c r="H21" s="35">
        <f>'Adjust'!F$239</f>
        <v>0</v>
      </c>
      <c r="I21" s="7">
        <f>'Adjust'!G$239</f>
        <v>0</v>
      </c>
      <c r="J21" s="13" t="s">
        <v>5</v>
      </c>
      <c r="K21" s="10"/>
    </row>
    <row r="22" spans="1:11">
      <c r="A22" s="11" t="s">
        <v>177</v>
      </c>
      <c r="B22" s="13" t="s">
        <v>5</v>
      </c>
      <c r="C22" s="36" t="s">
        <v>1501</v>
      </c>
      <c r="D22" s="7">
        <f>'Adjust'!B$243</f>
        <v>0</v>
      </c>
      <c r="E22" s="7">
        <f>'Adjust'!C$243</f>
        <v>0</v>
      </c>
      <c r="F22" s="7">
        <f>'Adjust'!D$243</f>
        <v>0</v>
      </c>
      <c r="G22" s="35">
        <f>'Adjust'!E$243</f>
        <v>0</v>
      </c>
      <c r="H22" s="35">
        <f>'Adjust'!F$243</f>
        <v>0</v>
      </c>
      <c r="I22" s="7">
        <f>'Adjust'!G$243</f>
        <v>0</v>
      </c>
      <c r="J22" s="13" t="s">
        <v>5</v>
      </c>
      <c r="K22" s="10"/>
    </row>
    <row r="23" spans="1:11">
      <c r="A23" s="11" t="s">
        <v>191</v>
      </c>
      <c r="B23" s="13" t="s">
        <v>5</v>
      </c>
      <c r="C23" s="36" t="s">
        <v>1501</v>
      </c>
      <c r="D23" s="7">
        <f>'Adjust'!B$245</f>
        <v>0</v>
      </c>
      <c r="E23" s="7">
        <f>'Adjust'!C$245</f>
        <v>0</v>
      </c>
      <c r="F23" s="7">
        <f>'Adjust'!D$245</f>
        <v>0</v>
      </c>
      <c r="G23" s="35">
        <f>'Adjust'!E$245</f>
        <v>0</v>
      </c>
      <c r="H23" s="35">
        <f>'Adjust'!F$245</f>
        <v>0</v>
      </c>
      <c r="I23" s="7">
        <f>'Adjust'!G$245</f>
        <v>0</v>
      </c>
      <c r="J23" s="13" t="s">
        <v>5</v>
      </c>
      <c r="K23" s="10"/>
    </row>
    <row r="24" spans="1:11">
      <c r="A24" s="11" t="s">
        <v>178</v>
      </c>
      <c r="B24" s="13" t="s">
        <v>5</v>
      </c>
      <c r="C24" s="36"/>
      <c r="D24" s="7">
        <f>'Adjust'!B$247</f>
        <v>0</v>
      </c>
      <c r="E24" s="7">
        <f>'Adjust'!C$247</f>
        <v>0</v>
      </c>
      <c r="F24" s="7">
        <f>'Adjust'!D$247</f>
        <v>0</v>
      </c>
      <c r="G24" s="35">
        <f>'Adjust'!E$247</f>
        <v>0</v>
      </c>
      <c r="H24" s="35">
        <f>'Adjust'!F$247</f>
        <v>0</v>
      </c>
      <c r="I24" s="7">
        <f>'Adjust'!G$247</f>
        <v>0</v>
      </c>
      <c r="J24" s="13" t="s">
        <v>5</v>
      </c>
      <c r="K24" s="10"/>
    </row>
    <row r="25" spans="1:11">
      <c r="A25" s="11" t="s">
        <v>179</v>
      </c>
      <c r="B25" s="13" t="s">
        <v>5</v>
      </c>
      <c r="C25" s="36"/>
      <c r="D25" s="7">
        <f>'Adjust'!B$251</f>
        <v>0</v>
      </c>
      <c r="E25" s="7">
        <f>'Adjust'!C$251</f>
        <v>0</v>
      </c>
      <c r="F25" s="7">
        <f>'Adjust'!D$251</f>
        <v>0</v>
      </c>
      <c r="G25" s="35">
        <f>'Adjust'!E$251</f>
        <v>0</v>
      </c>
      <c r="H25" s="35">
        <f>'Adjust'!F$251</f>
        <v>0</v>
      </c>
      <c r="I25" s="7">
        <f>'Adjust'!G$251</f>
        <v>0</v>
      </c>
      <c r="J25" s="13" t="s">
        <v>5</v>
      </c>
      <c r="K25" s="10"/>
    </row>
    <row r="26" spans="1:11">
      <c r="A26" s="11" t="s">
        <v>192</v>
      </c>
      <c r="B26" s="13" t="s">
        <v>5</v>
      </c>
      <c r="C26" s="36"/>
      <c r="D26" s="7">
        <f>'Adjust'!B$254</f>
        <v>0</v>
      </c>
      <c r="E26" s="7">
        <f>'Adjust'!C$254</f>
        <v>0</v>
      </c>
      <c r="F26" s="7">
        <f>'Adjust'!D$254</f>
        <v>0</v>
      </c>
      <c r="G26" s="35">
        <f>'Adjust'!E$254</f>
        <v>0</v>
      </c>
      <c r="H26" s="35">
        <f>'Adjust'!F$254</f>
        <v>0</v>
      </c>
      <c r="I26" s="7">
        <f>'Adjust'!G$254</f>
        <v>0</v>
      </c>
      <c r="J26" s="13" t="s">
        <v>5</v>
      </c>
      <c r="K26" s="10"/>
    </row>
    <row r="27" spans="1:11">
      <c r="A27" s="11" t="s">
        <v>212</v>
      </c>
      <c r="B27" s="13" t="s">
        <v>5</v>
      </c>
      <c r="C27" s="36">
        <v>8</v>
      </c>
      <c r="D27" s="7">
        <f>'Adjust'!B$257</f>
        <v>0</v>
      </c>
      <c r="E27" s="7">
        <f>'Adjust'!C$257</f>
        <v>0</v>
      </c>
      <c r="F27" s="7">
        <f>'Adjust'!D$257</f>
        <v>0</v>
      </c>
      <c r="G27" s="35">
        <f>'Adjust'!E$257</f>
        <v>0</v>
      </c>
      <c r="H27" s="35">
        <f>'Adjust'!F$257</f>
        <v>0</v>
      </c>
      <c r="I27" s="7">
        <f>'Adjust'!G$257</f>
        <v>0</v>
      </c>
      <c r="J27" s="13" t="s">
        <v>5</v>
      </c>
      <c r="K27" s="10"/>
    </row>
    <row r="28" spans="1:11">
      <c r="A28" s="11" t="s">
        <v>213</v>
      </c>
      <c r="B28" s="13" t="s">
        <v>5</v>
      </c>
      <c r="C28" s="36">
        <v>1</v>
      </c>
      <c r="D28" s="7">
        <f>'Adjust'!B$261</f>
        <v>0</v>
      </c>
      <c r="E28" s="7">
        <f>'Adjust'!C$261</f>
        <v>0</v>
      </c>
      <c r="F28" s="7">
        <f>'Adjust'!D$261</f>
        <v>0</v>
      </c>
      <c r="G28" s="35">
        <f>'Adjust'!E$261</f>
        <v>0</v>
      </c>
      <c r="H28" s="35">
        <f>'Adjust'!F$261</f>
        <v>0</v>
      </c>
      <c r="I28" s="7">
        <f>'Adjust'!G$261</f>
        <v>0</v>
      </c>
      <c r="J28" s="13" t="s">
        <v>5</v>
      </c>
      <c r="K28" s="10"/>
    </row>
    <row r="29" spans="1:11">
      <c r="A29" s="11" t="s">
        <v>214</v>
      </c>
      <c r="B29" s="13" t="s">
        <v>5</v>
      </c>
      <c r="C29" s="36">
        <v>1</v>
      </c>
      <c r="D29" s="7">
        <f>'Adjust'!B$265</f>
        <v>0</v>
      </c>
      <c r="E29" s="7">
        <f>'Adjust'!C$265</f>
        <v>0</v>
      </c>
      <c r="F29" s="7">
        <f>'Adjust'!D$265</f>
        <v>0</v>
      </c>
      <c r="G29" s="35">
        <f>'Adjust'!E$265</f>
        <v>0</v>
      </c>
      <c r="H29" s="35">
        <f>'Adjust'!F$265</f>
        <v>0</v>
      </c>
      <c r="I29" s="7">
        <f>'Adjust'!G$265</f>
        <v>0</v>
      </c>
      <c r="J29" s="13" t="s">
        <v>5</v>
      </c>
      <c r="K29" s="10"/>
    </row>
    <row r="30" spans="1:11">
      <c r="A30" s="11" t="s">
        <v>215</v>
      </c>
      <c r="B30" s="13" t="s">
        <v>5</v>
      </c>
      <c r="C30" s="36">
        <v>1</v>
      </c>
      <c r="D30" s="7">
        <f>'Adjust'!B$269</f>
        <v>0</v>
      </c>
      <c r="E30" s="7">
        <f>'Adjust'!C$269</f>
        <v>0</v>
      </c>
      <c r="F30" s="7">
        <f>'Adjust'!D$269</f>
        <v>0</v>
      </c>
      <c r="G30" s="35">
        <f>'Adjust'!E$269</f>
        <v>0</v>
      </c>
      <c r="H30" s="35">
        <f>'Adjust'!F$269</f>
        <v>0</v>
      </c>
      <c r="I30" s="7">
        <f>'Adjust'!G$269</f>
        <v>0</v>
      </c>
      <c r="J30" s="13" t="s">
        <v>5</v>
      </c>
      <c r="K30" s="10"/>
    </row>
    <row r="31" spans="1:11">
      <c r="A31" s="11" t="s">
        <v>216</v>
      </c>
      <c r="B31" s="13" t="s">
        <v>5</v>
      </c>
      <c r="C31" s="36"/>
      <c r="D31" s="7">
        <f>'Adjust'!B$273</f>
        <v>0</v>
      </c>
      <c r="E31" s="7">
        <f>'Adjust'!C$273</f>
        <v>0</v>
      </c>
      <c r="F31" s="7">
        <f>'Adjust'!D$273</f>
        <v>0</v>
      </c>
      <c r="G31" s="35">
        <f>'Adjust'!E$273</f>
        <v>0</v>
      </c>
      <c r="H31" s="35">
        <f>'Adjust'!F$273</f>
        <v>0</v>
      </c>
      <c r="I31" s="7">
        <f>'Adjust'!G$273</f>
        <v>0</v>
      </c>
      <c r="J31" s="13" t="s">
        <v>5</v>
      </c>
      <c r="K31" s="10"/>
    </row>
    <row r="32" spans="1:11">
      <c r="A32" s="11" t="s">
        <v>180</v>
      </c>
      <c r="B32" s="13" t="s">
        <v>5</v>
      </c>
      <c r="C32" s="36">
        <v>8</v>
      </c>
      <c r="D32" s="7">
        <f>'Adjust'!B$277</f>
        <v>0</v>
      </c>
      <c r="E32" s="7">
        <f>'Adjust'!C$277</f>
        <v>0</v>
      </c>
      <c r="F32" s="7">
        <f>'Adjust'!D$277</f>
        <v>0</v>
      </c>
      <c r="G32" s="35">
        <f>'Adjust'!E$277</f>
        <v>0</v>
      </c>
      <c r="H32" s="35">
        <f>'Adjust'!F$277</f>
        <v>0</v>
      </c>
      <c r="I32" s="7">
        <f>'Adjust'!G$277</f>
        <v>0</v>
      </c>
      <c r="J32" s="13" t="s">
        <v>5</v>
      </c>
      <c r="K32" s="10"/>
    </row>
    <row r="33" spans="1:11">
      <c r="A33" s="11" t="s">
        <v>181</v>
      </c>
      <c r="B33" s="13" t="s">
        <v>5</v>
      </c>
      <c r="C33" s="36">
        <v>8</v>
      </c>
      <c r="D33" s="7">
        <f>'Adjust'!B$281</f>
        <v>0</v>
      </c>
      <c r="E33" s="7">
        <f>'Adjust'!C$281</f>
        <v>0</v>
      </c>
      <c r="F33" s="7">
        <f>'Adjust'!D$281</f>
        <v>0</v>
      </c>
      <c r="G33" s="35">
        <f>'Adjust'!E$281</f>
        <v>0</v>
      </c>
      <c r="H33" s="35">
        <f>'Adjust'!F$281</f>
        <v>0</v>
      </c>
      <c r="I33" s="7">
        <f>'Adjust'!G$281</f>
        <v>0</v>
      </c>
      <c r="J33" s="13" t="s">
        <v>5</v>
      </c>
      <c r="K33" s="10"/>
    </row>
    <row r="34" spans="1:11">
      <c r="A34" s="11" t="s">
        <v>182</v>
      </c>
      <c r="B34" s="13" t="s">
        <v>5</v>
      </c>
      <c r="C34" s="36"/>
      <c r="D34" s="7">
        <f>'Adjust'!B$284</f>
        <v>0</v>
      </c>
      <c r="E34" s="7">
        <f>'Adjust'!C$284</f>
        <v>0</v>
      </c>
      <c r="F34" s="7">
        <f>'Adjust'!D$284</f>
        <v>0</v>
      </c>
      <c r="G34" s="35">
        <f>'Adjust'!E$284</f>
        <v>0</v>
      </c>
      <c r="H34" s="35">
        <f>'Adjust'!F$284</f>
        <v>0</v>
      </c>
      <c r="I34" s="7">
        <f>'Adjust'!G$284</f>
        <v>0</v>
      </c>
      <c r="J34" s="13" t="s">
        <v>5</v>
      </c>
      <c r="K34" s="10"/>
    </row>
    <row r="35" spans="1:11">
      <c r="A35" s="11" t="s">
        <v>183</v>
      </c>
      <c r="B35" s="13" t="s">
        <v>5</v>
      </c>
      <c r="C35" s="36"/>
      <c r="D35" s="7">
        <f>'Adjust'!B$288</f>
        <v>0</v>
      </c>
      <c r="E35" s="7">
        <f>'Adjust'!C$288</f>
        <v>0</v>
      </c>
      <c r="F35" s="7">
        <f>'Adjust'!D$288</f>
        <v>0</v>
      </c>
      <c r="G35" s="35">
        <f>'Adjust'!E$288</f>
        <v>0</v>
      </c>
      <c r="H35" s="35">
        <f>'Adjust'!F$288</f>
        <v>0</v>
      </c>
      <c r="I35" s="7">
        <f>'Adjust'!G$288</f>
        <v>0</v>
      </c>
      <c r="J35" s="13" t="s">
        <v>5</v>
      </c>
      <c r="K35" s="10"/>
    </row>
    <row r="36" spans="1:11">
      <c r="A36" s="11" t="s">
        <v>184</v>
      </c>
      <c r="B36" s="13" t="s">
        <v>5</v>
      </c>
      <c r="C36" s="36"/>
      <c r="D36" s="7">
        <f>'Adjust'!B$292</f>
        <v>0</v>
      </c>
      <c r="E36" s="7">
        <f>'Adjust'!C$292</f>
        <v>0</v>
      </c>
      <c r="F36" s="7">
        <f>'Adjust'!D$292</f>
        <v>0</v>
      </c>
      <c r="G36" s="35">
        <f>'Adjust'!E$292</f>
        <v>0</v>
      </c>
      <c r="H36" s="35">
        <f>'Adjust'!F$292</f>
        <v>0</v>
      </c>
      <c r="I36" s="7">
        <f>'Adjust'!G$292</f>
        <v>0</v>
      </c>
      <c r="J36" s="13" t="s">
        <v>5</v>
      </c>
      <c r="K36" s="10"/>
    </row>
    <row r="37" spans="1:11">
      <c r="A37" s="11" t="s">
        <v>185</v>
      </c>
      <c r="B37" s="13" t="s">
        <v>5</v>
      </c>
      <c r="C37" s="36"/>
      <c r="D37" s="7">
        <f>'Adjust'!B$295</f>
        <v>0</v>
      </c>
      <c r="E37" s="7">
        <f>'Adjust'!C$295</f>
        <v>0</v>
      </c>
      <c r="F37" s="7">
        <f>'Adjust'!D$295</f>
        <v>0</v>
      </c>
      <c r="G37" s="35">
        <f>'Adjust'!E$295</f>
        <v>0</v>
      </c>
      <c r="H37" s="35">
        <f>'Adjust'!F$295</f>
        <v>0</v>
      </c>
      <c r="I37" s="7">
        <f>'Adjust'!G$295</f>
        <v>0</v>
      </c>
      <c r="J37" s="13" t="s">
        <v>5</v>
      </c>
      <c r="K37" s="10"/>
    </row>
    <row r="38" spans="1:11">
      <c r="A38" s="11" t="s">
        <v>193</v>
      </c>
      <c r="B38" s="13" t="s">
        <v>5</v>
      </c>
      <c r="C38" s="36"/>
      <c r="D38" s="7">
        <f>'Adjust'!B$298</f>
        <v>0</v>
      </c>
      <c r="E38" s="7">
        <f>'Adjust'!C$298</f>
        <v>0</v>
      </c>
      <c r="F38" s="7">
        <f>'Adjust'!D$298</f>
        <v>0</v>
      </c>
      <c r="G38" s="35">
        <f>'Adjust'!E$298</f>
        <v>0</v>
      </c>
      <c r="H38" s="35">
        <f>'Adjust'!F$298</f>
        <v>0</v>
      </c>
      <c r="I38" s="7">
        <f>'Adjust'!G$298</f>
        <v>0</v>
      </c>
      <c r="J38" s="13" t="s">
        <v>5</v>
      </c>
      <c r="K38" s="10"/>
    </row>
    <row r="39" spans="1:11">
      <c r="A39" s="11" t="s">
        <v>194</v>
      </c>
      <c r="B39" s="13" t="s">
        <v>5</v>
      </c>
      <c r="C39" s="36"/>
      <c r="D39" s="7">
        <f>'Adjust'!B$301</f>
        <v>0</v>
      </c>
      <c r="E39" s="7">
        <f>'Adjust'!C$301</f>
        <v>0</v>
      </c>
      <c r="F39" s="7">
        <f>'Adjust'!D$301</f>
        <v>0</v>
      </c>
      <c r="G39" s="35">
        <f>'Adjust'!E$301</f>
        <v>0</v>
      </c>
      <c r="H39" s="35">
        <f>'Adjust'!F$301</f>
        <v>0</v>
      </c>
      <c r="I39" s="7">
        <f>'Adjust'!G$301</f>
        <v>0</v>
      </c>
      <c r="J39" s="13" t="s">
        <v>5</v>
      </c>
      <c r="K39" s="10"/>
    </row>
    <row r="40" spans="1:11">
      <c r="A40" s="11" t="s">
        <v>228</v>
      </c>
      <c r="B40" s="13" t="s">
        <v>5</v>
      </c>
      <c r="C40" s="36">
        <v>1</v>
      </c>
      <c r="D40" s="7">
        <f>'Adjust'!B$216</f>
        <v>0</v>
      </c>
      <c r="E40" s="7">
        <f>'Adjust'!C$216</f>
        <v>0</v>
      </c>
      <c r="F40" s="7">
        <f>'Adjust'!D$216</f>
        <v>0</v>
      </c>
      <c r="G40" s="35">
        <f>'Adjust'!E$216</f>
        <v>0</v>
      </c>
      <c r="H40" s="35">
        <f>'Adjust'!F$216</f>
        <v>0</v>
      </c>
      <c r="I40" s="7">
        <f>'Adjust'!G$216</f>
        <v>0</v>
      </c>
      <c r="J40" s="13" t="s">
        <v>5</v>
      </c>
      <c r="K40" s="10"/>
    </row>
    <row r="41" spans="1:11">
      <c r="A41" s="11" t="s">
        <v>231</v>
      </c>
      <c r="B41" s="13" t="s">
        <v>5</v>
      </c>
      <c r="C41" s="36">
        <v>2</v>
      </c>
      <c r="D41" s="7">
        <f>'Adjust'!B$220</f>
        <v>0</v>
      </c>
      <c r="E41" s="7">
        <f>'Adjust'!C$220</f>
        <v>0</v>
      </c>
      <c r="F41" s="7">
        <f>'Adjust'!D$220</f>
        <v>0</v>
      </c>
      <c r="G41" s="35">
        <f>'Adjust'!E$220</f>
        <v>0</v>
      </c>
      <c r="H41" s="35">
        <f>'Adjust'!F$220</f>
        <v>0</v>
      </c>
      <c r="I41" s="7">
        <f>'Adjust'!G$220</f>
        <v>0</v>
      </c>
      <c r="J41" s="13" t="s">
        <v>5</v>
      </c>
      <c r="K41" s="10"/>
    </row>
    <row r="42" spans="1:11">
      <c r="A42" s="11" t="s">
        <v>234</v>
      </c>
      <c r="B42" s="13" t="s">
        <v>5</v>
      </c>
      <c r="C42" s="36">
        <v>2</v>
      </c>
      <c r="D42" s="7">
        <f>'Adjust'!B$224</f>
        <v>0</v>
      </c>
      <c r="E42" s="7">
        <f>'Adjust'!C$224</f>
        <v>0</v>
      </c>
      <c r="F42" s="7">
        <f>'Adjust'!D$224</f>
        <v>0</v>
      </c>
      <c r="G42" s="35">
        <f>'Adjust'!E$224</f>
        <v>0</v>
      </c>
      <c r="H42" s="35">
        <f>'Adjust'!F$224</f>
        <v>0</v>
      </c>
      <c r="I42" s="7">
        <f>'Adjust'!G$224</f>
        <v>0</v>
      </c>
      <c r="J42" s="13" t="s">
        <v>5</v>
      </c>
      <c r="K42" s="10"/>
    </row>
    <row r="43" spans="1:11">
      <c r="A43" s="11" t="s">
        <v>237</v>
      </c>
      <c r="B43" s="13" t="s">
        <v>5</v>
      </c>
      <c r="C43" s="36">
        <v>3</v>
      </c>
      <c r="D43" s="7">
        <f>'Adjust'!B$228</f>
        <v>0</v>
      </c>
      <c r="E43" s="7">
        <f>'Adjust'!C$228</f>
        <v>0</v>
      </c>
      <c r="F43" s="7">
        <f>'Adjust'!D$228</f>
        <v>0</v>
      </c>
      <c r="G43" s="35">
        <f>'Adjust'!E$228</f>
        <v>0</v>
      </c>
      <c r="H43" s="35">
        <f>'Adjust'!F$228</f>
        <v>0</v>
      </c>
      <c r="I43" s="7">
        <f>'Adjust'!G$228</f>
        <v>0</v>
      </c>
      <c r="J43" s="13" t="s">
        <v>5</v>
      </c>
      <c r="K43" s="10"/>
    </row>
    <row r="44" spans="1:11">
      <c r="A44" s="11" t="s">
        <v>240</v>
      </c>
      <c r="B44" s="13" t="s">
        <v>5</v>
      </c>
      <c r="C44" s="36">
        <v>4</v>
      </c>
      <c r="D44" s="7">
        <f>'Adjust'!B$232</f>
        <v>0</v>
      </c>
      <c r="E44" s="7">
        <f>'Adjust'!C$232</f>
        <v>0</v>
      </c>
      <c r="F44" s="7">
        <f>'Adjust'!D$232</f>
        <v>0</v>
      </c>
      <c r="G44" s="35">
        <f>'Adjust'!E$232</f>
        <v>0</v>
      </c>
      <c r="H44" s="35">
        <f>'Adjust'!F$232</f>
        <v>0</v>
      </c>
      <c r="I44" s="7">
        <f>'Adjust'!G$232</f>
        <v>0</v>
      </c>
      <c r="J44" s="13" t="s">
        <v>5</v>
      </c>
      <c r="K44" s="10"/>
    </row>
    <row r="45" spans="1:11">
      <c r="A45" s="11" t="s">
        <v>243</v>
      </c>
      <c r="B45" s="13" t="s">
        <v>5</v>
      </c>
      <c r="C45" s="36">
        <v>4</v>
      </c>
      <c r="D45" s="7">
        <f>'Adjust'!B$236</f>
        <v>0</v>
      </c>
      <c r="E45" s="7">
        <f>'Adjust'!C$236</f>
        <v>0</v>
      </c>
      <c r="F45" s="7">
        <f>'Adjust'!D$236</f>
        <v>0</v>
      </c>
      <c r="G45" s="35">
        <f>'Adjust'!E$236</f>
        <v>0</v>
      </c>
      <c r="H45" s="35">
        <f>'Adjust'!F$236</f>
        <v>0</v>
      </c>
      <c r="I45" s="7">
        <f>'Adjust'!G$236</f>
        <v>0</v>
      </c>
      <c r="J45" s="13" t="s">
        <v>5</v>
      </c>
      <c r="K45" s="10"/>
    </row>
    <row r="46" spans="1:11">
      <c r="A46" s="11" t="s">
        <v>246</v>
      </c>
      <c r="B46" s="13" t="s">
        <v>5</v>
      </c>
      <c r="C46" s="36" t="s">
        <v>1501</v>
      </c>
      <c r="D46" s="7">
        <f>'Adjust'!B$240</f>
        <v>0</v>
      </c>
      <c r="E46" s="7">
        <f>'Adjust'!C$240</f>
        <v>0</v>
      </c>
      <c r="F46" s="7">
        <f>'Adjust'!D$240</f>
        <v>0</v>
      </c>
      <c r="G46" s="35">
        <f>'Adjust'!E$240</f>
        <v>0</v>
      </c>
      <c r="H46" s="35">
        <f>'Adjust'!F$240</f>
        <v>0</v>
      </c>
      <c r="I46" s="7">
        <f>'Adjust'!G$240</f>
        <v>0</v>
      </c>
      <c r="J46" s="13" t="s">
        <v>5</v>
      </c>
      <c r="K46" s="10"/>
    </row>
    <row r="47" spans="1:11">
      <c r="A47" s="11" t="s">
        <v>251</v>
      </c>
      <c r="B47" s="13" t="s">
        <v>5</v>
      </c>
      <c r="C47" s="36"/>
      <c r="D47" s="7">
        <f>'Adjust'!B$248</f>
        <v>0</v>
      </c>
      <c r="E47" s="7">
        <f>'Adjust'!C$248</f>
        <v>0</v>
      </c>
      <c r="F47" s="7">
        <f>'Adjust'!D$248</f>
        <v>0</v>
      </c>
      <c r="G47" s="35">
        <f>'Adjust'!E$248</f>
        <v>0</v>
      </c>
      <c r="H47" s="35">
        <f>'Adjust'!F$248</f>
        <v>0</v>
      </c>
      <c r="I47" s="7">
        <f>'Adjust'!G$248</f>
        <v>0</v>
      </c>
      <c r="J47" s="13" t="s">
        <v>5</v>
      </c>
      <c r="K47" s="10"/>
    </row>
    <row r="48" spans="1:11">
      <c r="A48" s="11" t="s">
        <v>258</v>
      </c>
      <c r="B48" s="13" t="s">
        <v>5</v>
      </c>
      <c r="C48" s="36">
        <v>8</v>
      </c>
      <c r="D48" s="7">
        <f>'Adjust'!B$258</f>
        <v>0</v>
      </c>
      <c r="E48" s="7">
        <f>'Adjust'!C$258</f>
        <v>0</v>
      </c>
      <c r="F48" s="7">
        <f>'Adjust'!D$258</f>
        <v>0</v>
      </c>
      <c r="G48" s="35">
        <f>'Adjust'!E$258</f>
        <v>0</v>
      </c>
      <c r="H48" s="35">
        <f>'Adjust'!F$258</f>
        <v>0</v>
      </c>
      <c r="I48" s="7">
        <f>'Adjust'!G$258</f>
        <v>0</v>
      </c>
      <c r="J48" s="13" t="s">
        <v>5</v>
      </c>
      <c r="K48" s="10"/>
    </row>
    <row r="49" spans="1:11">
      <c r="A49" s="11" t="s">
        <v>261</v>
      </c>
      <c r="B49" s="13" t="s">
        <v>5</v>
      </c>
      <c r="C49" s="36">
        <v>1</v>
      </c>
      <c r="D49" s="7">
        <f>'Adjust'!B$262</f>
        <v>0</v>
      </c>
      <c r="E49" s="7">
        <f>'Adjust'!C$262</f>
        <v>0</v>
      </c>
      <c r="F49" s="7">
        <f>'Adjust'!D$262</f>
        <v>0</v>
      </c>
      <c r="G49" s="35">
        <f>'Adjust'!E$262</f>
        <v>0</v>
      </c>
      <c r="H49" s="35">
        <f>'Adjust'!F$262</f>
        <v>0</v>
      </c>
      <c r="I49" s="7">
        <f>'Adjust'!G$262</f>
        <v>0</v>
      </c>
      <c r="J49" s="13" t="s">
        <v>5</v>
      </c>
      <c r="K49" s="10"/>
    </row>
    <row r="50" spans="1:11">
      <c r="A50" s="11" t="s">
        <v>264</v>
      </c>
      <c r="B50" s="13" t="s">
        <v>5</v>
      </c>
      <c r="C50" s="36">
        <v>1</v>
      </c>
      <c r="D50" s="7">
        <f>'Adjust'!B$266</f>
        <v>0</v>
      </c>
      <c r="E50" s="7">
        <f>'Adjust'!C$266</f>
        <v>0</v>
      </c>
      <c r="F50" s="7">
        <f>'Adjust'!D$266</f>
        <v>0</v>
      </c>
      <c r="G50" s="35">
        <f>'Adjust'!E$266</f>
        <v>0</v>
      </c>
      <c r="H50" s="35">
        <f>'Adjust'!F$266</f>
        <v>0</v>
      </c>
      <c r="I50" s="7">
        <f>'Adjust'!G$266</f>
        <v>0</v>
      </c>
      <c r="J50" s="13" t="s">
        <v>5</v>
      </c>
      <c r="K50" s="10"/>
    </row>
    <row r="51" spans="1:11">
      <c r="A51" s="11" t="s">
        <v>267</v>
      </c>
      <c r="B51" s="13" t="s">
        <v>5</v>
      </c>
      <c r="C51" s="36">
        <v>1</v>
      </c>
      <c r="D51" s="7">
        <f>'Adjust'!B$270</f>
        <v>0</v>
      </c>
      <c r="E51" s="7">
        <f>'Adjust'!C$270</f>
        <v>0</v>
      </c>
      <c r="F51" s="7">
        <f>'Adjust'!D$270</f>
        <v>0</v>
      </c>
      <c r="G51" s="35">
        <f>'Adjust'!E$270</f>
        <v>0</v>
      </c>
      <c r="H51" s="35">
        <f>'Adjust'!F$270</f>
        <v>0</v>
      </c>
      <c r="I51" s="7">
        <f>'Adjust'!G$270</f>
        <v>0</v>
      </c>
      <c r="J51" s="13" t="s">
        <v>5</v>
      </c>
      <c r="K51" s="10"/>
    </row>
    <row r="52" spans="1:11">
      <c r="A52" s="11" t="s">
        <v>270</v>
      </c>
      <c r="B52" s="13" t="s">
        <v>5</v>
      </c>
      <c r="C52" s="36"/>
      <c r="D52" s="7">
        <f>'Adjust'!B$274</f>
        <v>0</v>
      </c>
      <c r="E52" s="7">
        <f>'Adjust'!C$274</f>
        <v>0</v>
      </c>
      <c r="F52" s="7">
        <f>'Adjust'!D$274</f>
        <v>0</v>
      </c>
      <c r="G52" s="35">
        <f>'Adjust'!E$274</f>
        <v>0</v>
      </c>
      <c r="H52" s="35">
        <f>'Adjust'!F$274</f>
        <v>0</v>
      </c>
      <c r="I52" s="7">
        <f>'Adjust'!G$274</f>
        <v>0</v>
      </c>
      <c r="J52" s="13" t="s">
        <v>5</v>
      </c>
      <c r="K52" s="10"/>
    </row>
    <row r="53" spans="1:11">
      <c r="A53" s="11" t="s">
        <v>273</v>
      </c>
      <c r="B53" s="13" t="s">
        <v>5</v>
      </c>
      <c r="C53" s="36">
        <v>8</v>
      </c>
      <c r="D53" s="7">
        <f>'Adjust'!B$278</f>
        <v>0</v>
      </c>
      <c r="E53" s="7">
        <f>'Adjust'!C$278</f>
        <v>0</v>
      </c>
      <c r="F53" s="7">
        <f>'Adjust'!D$278</f>
        <v>0</v>
      </c>
      <c r="G53" s="35">
        <f>'Adjust'!E$278</f>
        <v>0</v>
      </c>
      <c r="H53" s="35">
        <f>'Adjust'!F$278</f>
        <v>0</v>
      </c>
      <c r="I53" s="7">
        <f>'Adjust'!G$278</f>
        <v>0</v>
      </c>
      <c r="J53" s="13" t="s">
        <v>5</v>
      </c>
      <c r="K53" s="10"/>
    </row>
    <row r="54" spans="1:11">
      <c r="A54" s="11" t="s">
        <v>278</v>
      </c>
      <c r="B54" s="13" t="s">
        <v>5</v>
      </c>
      <c r="C54" s="36"/>
      <c r="D54" s="7">
        <f>'Adjust'!B$285</f>
        <v>0</v>
      </c>
      <c r="E54" s="7">
        <f>'Adjust'!C$285</f>
        <v>0</v>
      </c>
      <c r="F54" s="7">
        <f>'Adjust'!D$285</f>
        <v>0</v>
      </c>
      <c r="G54" s="35">
        <f>'Adjust'!E$285</f>
        <v>0</v>
      </c>
      <c r="H54" s="35">
        <f>'Adjust'!F$285</f>
        <v>0</v>
      </c>
      <c r="I54" s="7">
        <f>'Adjust'!G$285</f>
        <v>0</v>
      </c>
      <c r="J54" s="13" t="s">
        <v>5</v>
      </c>
      <c r="K54" s="10"/>
    </row>
    <row r="55" spans="1:11">
      <c r="A55" s="11" t="s">
        <v>281</v>
      </c>
      <c r="B55" s="13" t="s">
        <v>5</v>
      </c>
      <c r="C55" s="36"/>
      <c r="D55" s="7">
        <f>'Adjust'!B$289</f>
        <v>0</v>
      </c>
      <c r="E55" s="7">
        <f>'Adjust'!C$289</f>
        <v>0</v>
      </c>
      <c r="F55" s="7">
        <f>'Adjust'!D$289</f>
        <v>0</v>
      </c>
      <c r="G55" s="35">
        <f>'Adjust'!E$289</f>
        <v>0</v>
      </c>
      <c r="H55" s="35">
        <f>'Adjust'!F$289</f>
        <v>0</v>
      </c>
      <c r="I55" s="7">
        <f>'Adjust'!G$289</f>
        <v>0</v>
      </c>
      <c r="J55" s="13" t="s">
        <v>5</v>
      </c>
      <c r="K55" s="10"/>
    </row>
    <row r="56" spans="1:11">
      <c r="A56" s="11" t="s">
        <v>229</v>
      </c>
      <c r="B56" s="13" t="s">
        <v>5</v>
      </c>
      <c r="C56" s="36">
        <v>1</v>
      </c>
      <c r="D56" s="7">
        <f>'Adjust'!B$217</f>
        <v>0</v>
      </c>
      <c r="E56" s="7">
        <f>'Adjust'!C$217</f>
        <v>0</v>
      </c>
      <c r="F56" s="7">
        <f>'Adjust'!D$217</f>
        <v>0</v>
      </c>
      <c r="G56" s="35">
        <f>'Adjust'!E$217</f>
        <v>0</v>
      </c>
      <c r="H56" s="35">
        <f>'Adjust'!F$217</f>
        <v>0</v>
      </c>
      <c r="I56" s="7">
        <f>'Adjust'!G$217</f>
        <v>0</v>
      </c>
      <c r="J56" s="13" t="s">
        <v>5</v>
      </c>
      <c r="K56" s="10"/>
    </row>
    <row r="57" spans="1:11">
      <c r="A57" s="11" t="s">
        <v>232</v>
      </c>
      <c r="B57" s="13" t="s">
        <v>5</v>
      </c>
      <c r="C57" s="36">
        <v>2</v>
      </c>
      <c r="D57" s="7">
        <f>'Adjust'!B$221</f>
        <v>0</v>
      </c>
      <c r="E57" s="7">
        <f>'Adjust'!C$221</f>
        <v>0</v>
      </c>
      <c r="F57" s="7">
        <f>'Adjust'!D$221</f>
        <v>0</v>
      </c>
      <c r="G57" s="35">
        <f>'Adjust'!E$221</f>
        <v>0</v>
      </c>
      <c r="H57" s="35">
        <f>'Adjust'!F$221</f>
        <v>0</v>
      </c>
      <c r="I57" s="7">
        <f>'Adjust'!G$221</f>
        <v>0</v>
      </c>
      <c r="J57" s="13" t="s">
        <v>5</v>
      </c>
      <c r="K57" s="10"/>
    </row>
    <row r="58" spans="1:11">
      <c r="A58" s="11" t="s">
        <v>235</v>
      </c>
      <c r="B58" s="13" t="s">
        <v>5</v>
      </c>
      <c r="C58" s="36">
        <v>2</v>
      </c>
      <c r="D58" s="7">
        <f>'Adjust'!B$225</f>
        <v>0</v>
      </c>
      <c r="E58" s="7">
        <f>'Adjust'!C$225</f>
        <v>0</v>
      </c>
      <c r="F58" s="7">
        <f>'Adjust'!D$225</f>
        <v>0</v>
      </c>
      <c r="G58" s="35">
        <f>'Adjust'!E$225</f>
        <v>0</v>
      </c>
      <c r="H58" s="35">
        <f>'Adjust'!F$225</f>
        <v>0</v>
      </c>
      <c r="I58" s="7">
        <f>'Adjust'!G$225</f>
        <v>0</v>
      </c>
      <c r="J58" s="13" t="s">
        <v>5</v>
      </c>
      <c r="K58" s="10"/>
    </row>
    <row r="59" spans="1:11">
      <c r="A59" s="11" t="s">
        <v>238</v>
      </c>
      <c r="B59" s="13" t="s">
        <v>5</v>
      </c>
      <c r="C59" s="36">
        <v>3</v>
      </c>
      <c r="D59" s="7">
        <f>'Adjust'!B$229</f>
        <v>0</v>
      </c>
      <c r="E59" s="7">
        <f>'Adjust'!C$229</f>
        <v>0</v>
      </c>
      <c r="F59" s="7">
        <f>'Adjust'!D$229</f>
        <v>0</v>
      </c>
      <c r="G59" s="35">
        <f>'Adjust'!E$229</f>
        <v>0</v>
      </c>
      <c r="H59" s="35">
        <f>'Adjust'!F$229</f>
        <v>0</v>
      </c>
      <c r="I59" s="7">
        <f>'Adjust'!G$229</f>
        <v>0</v>
      </c>
      <c r="J59" s="13" t="s">
        <v>5</v>
      </c>
      <c r="K59" s="10"/>
    </row>
    <row r="60" spans="1:11">
      <c r="A60" s="11" t="s">
        <v>241</v>
      </c>
      <c r="B60" s="13" t="s">
        <v>5</v>
      </c>
      <c r="C60" s="36">
        <v>4</v>
      </c>
      <c r="D60" s="7">
        <f>'Adjust'!B$233</f>
        <v>0</v>
      </c>
      <c r="E60" s="7">
        <f>'Adjust'!C$233</f>
        <v>0</v>
      </c>
      <c r="F60" s="7">
        <f>'Adjust'!D$233</f>
        <v>0</v>
      </c>
      <c r="G60" s="35">
        <f>'Adjust'!E$233</f>
        <v>0</v>
      </c>
      <c r="H60" s="35">
        <f>'Adjust'!F$233</f>
        <v>0</v>
      </c>
      <c r="I60" s="7">
        <f>'Adjust'!G$233</f>
        <v>0</v>
      </c>
      <c r="J60" s="13" t="s">
        <v>5</v>
      </c>
      <c r="K60" s="10"/>
    </row>
    <row r="61" spans="1:11">
      <c r="A61" s="11" t="s">
        <v>244</v>
      </c>
      <c r="B61" s="13" t="s">
        <v>5</v>
      </c>
      <c r="C61" s="36">
        <v>4</v>
      </c>
      <c r="D61" s="7">
        <f>'Adjust'!B$237</f>
        <v>0</v>
      </c>
      <c r="E61" s="7">
        <f>'Adjust'!C$237</f>
        <v>0</v>
      </c>
      <c r="F61" s="7">
        <f>'Adjust'!D$237</f>
        <v>0</v>
      </c>
      <c r="G61" s="35">
        <f>'Adjust'!E$237</f>
        <v>0</v>
      </c>
      <c r="H61" s="35">
        <f>'Adjust'!F$237</f>
        <v>0</v>
      </c>
      <c r="I61" s="7">
        <f>'Adjust'!G$237</f>
        <v>0</v>
      </c>
      <c r="J61" s="13" t="s">
        <v>5</v>
      </c>
      <c r="K61" s="10"/>
    </row>
    <row r="62" spans="1:11">
      <c r="A62" s="11" t="s">
        <v>247</v>
      </c>
      <c r="B62" s="13" t="s">
        <v>5</v>
      </c>
      <c r="C62" s="36" t="s">
        <v>1501</v>
      </c>
      <c r="D62" s="7">
        <f>'Adjust'!B$241</f>
        <v>0</v>
      </c>
      <c r="E62" s="7">
        <f>'Adjust'!C$241</f>
        <v>0</v>
      </c>
      <c r="F62" s="7">
        <f>'Adjust'!D$241</f>
        <v>0</v>
      </c>
      <c r="G62" s="35">
        <f>'Adjust'!E$241</f>
        <v>0</v>
      </c>
      <c r="H62" s="35">
        <f>'Adjust'!F$241</f>
        <v>0</v>
      </c>
      <c r="I62" s="7">
        <f>'Adjust'!G$241</f>
        <v>0</v>
      </c>
      <c r="J62" s="13" t="s">
        <v>5</v>
      </c>
      <c r="K62" s="10"/>
    </row>
    <row r="63" spans="1:11">
      <c r="A63" s="11" t="s">
        <v>252</v>
      </c>
      <c r="B63" s="13" t="s">
        <v>5</v>
      </c>
      <c r="C63" s="36"/>
      <c r="D63" s="7">
        <f>'Adjust'!B$249</f>
        <v>0</v>
      </c>
      <c r="E63" s="7">
        <f>'Adjust'!C$249</f>
        <v>0</v>
      </c>
      <c r="F63" s="7">
        <f>'Adjust'!D$249</f>
        <v>0</v>
      </c>
      <c r="G63" s="35">
        <f>'Adjust'!E$249</f>
        <v>0</v>
      </c>
      <c r="H63" s="35">
        <f>'Adjust'!F$249</f>
        <v>0</v>
      </c>
      <c r="I63" s="7">
        <f>'Adjust'!G$249</f>
        <v>0</v>
      </c>
      <c r="J63" s="13" t="s">
        <v>5</v>
      </c>
      <c r="K63" s="10"/>
    </row>
    <row r="64" spans="1:11">
      <c r="A64" s="11" t="s">
        <v>254</v>
      </c>
      <c r="B64" s="13" t="s">
        <v>5</v>
      </c>
      <c r="C64" s="36"/>
      <c r="D64" s="7">
        <f>'Adjust'!B$252</f>
        <v>0</v>
      </c>
      <c r="E64" s="7">
        <f>'Adjust'!C$252</f>
        <v>0</v>
      </c>
      <c r="F64" s="7">
        <f>'Adjust'!D$252</f>
        <v>0</v>
      </c>
      <c r="G64" s="35">
        <f>'Adjust'!E$252</f>
        <v>0</v>
      </c>
      <c r="H64" s="35">
        <f>'Adjust'!F$252</f>
        <v>0</v>
      </c>
      <c r="I64" s="7">
        <f>'Adjust'!G$252</f>
        <v>0</v>
      </c>
      <c r="J64" s="13" t="s">
        <v>5</v>
      </c>
      <c r="K64" s="10"/>
    </row>
    <row r="65" spans="1:11">
      <c r="A65" s="11" t="s">
        <v>256</v>
      </c>
      <c r="B65" s="13" t="s">
        <v>5</v>
      </c>
      <c r="C65" s="36"/>
      <c r="D65" s="7">
        <f>'Adjust'!B$255</f>
        <v>0</v>
      </c>
      <c r="E65" s="7">
        <f>'Adjust'!C$255</f>
        <v>0</v>
      </c>
      <c r="F65" s="7">
        <f>'Adjust'!D$255</f>
        <v>0</v>
      </c>
      <c r="G65" s="35">
        <f>'Adjust'!E$255</f>
        <v>0</v>
      </c>
      <c r="H65" s="35">
        <f>'Adjust'!F$255</f>
        <v>0</v>
      </c>
      <c r="I65" s="7">
        <f>'Adjust'!G$255</f>
        <v>0</v>
      </c>
      <c r="J65" s="13" t="s">
        <v>5</v>
      </c>
      <c r="K65" s="10"/>
    </row>
    <row r="66" spans="1:11">
      <c r="A66" s="11" t="s">
        <v>259</v>
      </c>
      <c r="B66" s="13" t="s">
        <v>5</v>
      </c>
      <c r="C66" s="36">
        <v>8</v>
      </c>
      <c r="D66" s="7">
        <f>'Adjust'!B$259</f>
        <v>0</v>
      </c>
      <c r="E66" s="7">
        <f>'Adjust'!C$259</f>
        <v>0</v>
      </c>
      <c r="F66" s="7">
        <f>'Adjust'!D$259</f>
        <v>0</v>
      </c>
      <c r="G66" s="35">
        <f>'Adjust'!E$259</f>
        <v>0</v>
      </c>
      <c r="H66" s="35">
        <f>'Adjust'!F$259</f>
        <v>0</v>
      </c>
      <c r="I66" s="7">
        <f>'Adjust'!G$259</f>
        <v>0</v>
      </c>
      <c r="J66" s="13" t="s">
        <v>5</v>
      </c>
      <c r="K66" s="10"/>
    </row>
    <row r="67" spans="1:11">
      <c r="A67" s="11" t="s">
        <v>262</v>
      </c>
      <c r="B67" s="13" t="s">
        <v>5</v>
      </c>
      <c r="C67" s="36">
        <v>1</v>
      </c>
      <c r="D67" s="7">
        <f>'Adjust'!B$263</f>
        <v>0</v>
      </c>
      <c r="E67" s="7">
        <f>'Adjust'!C$263</f>
        <v>0</v>
      </c>
      <c r="F67" s="7">
        <f>'Adjust'!D$263</f>
        <v>0</v>
      </c>
      <c r="G67" s="35">
        <f>'Adjust'!E$263</f>
        <v>0</v>
      </c>
      <c r="H67" s="35">
        <f>'Adjust'!F$263</f>
        <v>0</v>
      </c>
      <c r="I67" s="7">
        <f>'Adjust'!G$263</f>
        <v>0</v>
      </c>
      <c r="J67" s="13" t="s">
        <v>5</v>
      </c>
      <c r="K67" s="10"/>
    </row>
    <row r="68" spans="1:11">
      <c r="A68" s="11" t="s">
        <v>265</v>
      </c>
      <c r="B68" s="13" t="s">
        <v>5</v>
      </c>
      <c r="C68" s="36">
        <v>1</v>
      </c>
      <c r="D68" s="7">
        <f>'Adjust'!B$267</f>
        <v>0</v>
      </c>
      <c r="E68" s="7">
        <f>'Adjust'!C$267</f>
        <v>0</v>
      </c>
      <c r="F68" s="7">
        <f>'Adjust'!D$267</f>
        <v>0</v>
      </c>
      <c r="G68" s="35">
        <f>'Adjust'!E$267</f>
        <v>0</v>
      </c>
      <c r="H68" s="35">
        <f>'Adjust'!F$267</f>
        <v>0</v>
      </c>
      <c r="I68" s="7">
        <f>'Adjust'!G$267</f>
        <v>0</v>
      </c>
      <c r="J68" s="13" t="s">
        <v>5</v>
      </c>
      <c r="K68" s="10"/>
    </row>
    <row r="69" spans="1:11">
      <c r="A69" s="11" t="s">
        <v>268</v>
      </c>
      <c r="B69" s="13" t="s">
        <v>5</v>
      </c>
      <c r="C69" s="36">
        <v>1</v>
      </c>
      <c r="D69" s="7">
        <f>'Adjust'!B$271</f>
        <v>0</v>
      </c>
      <c r="E69" s="7">
        <f>'Adjust'!C$271</f>
        <v>0</v>
      </c>
      <c r="F69" s="7">
        <f>'Adjust'!D$271</f>
        <v>0</v>
      </c>
      <c r="G69" s="35">
        <f>'Adjust'!E$271</f>
        <v>0</v>
      </c>
      <c r="H69" s="35">
        <f>'Adjust'!F$271</f>
        <v>0</v>
      </c>
      <c r="I69" s="7">
        <f>'Adjust'!G$271</f>
        <v>0</v>
      </c>
      <c r="J69" s="13" t="s">
        <v>5</v>
      </c>
      <c r="K69" s="10"/>
    </row>
    <row r="70" spans="1:11">
      <c r="A70" s="11" t="s">
        <v>271</v>
      </c>
      <c r="B70" s="13" t="s">
        <v>5</v>
      </c>
      <c r="C70" s="36"/>
      <c r="D70" s="7">
        <f>'Adjust'!B$275</f>
        <v>0</v>
      </c>
      <c r="E70" s="7">
        <f>'Adjust'!C$275</f>
        <v>0</v>
      </c>
      <c r="F70" s="7">
        <f>'Adjust'!D$275</f>
        <v>0</v>
      </c>
      <c r="G70" s="35">
        <f>'Adjust'!E$275</f>
        <v>0</v>
      </c>
      <c r="H70" s="35">
        <f>'Adjust'!F$275</f>
        <v>0</v>
      </c>
      <c r="I70" s="7">
        <f>'Adjust'!G$275</f>
        <v>0</v>
      </c>
      <c r="J70" s="13" t="s">
        <v>5</v>
      </c>
      <c r="K70" s="10"/>
    </row>
    <row r="71" spans="1:11">
      <c r="A71" s="11" t="s">
        <v>274</v>
      </c>
      <c r="B71" s="13" t="s">
        <v>5</v>
      </c>
      <c r="C71" s="36">
        <v>8</v>
      </c>
      <c r="D71" s="7">
        <f>'Adjust'!B$279</f>
        <v>0</v>
      </c>
      <c r="E71" s="7">
        <f>'Adjust'!C$279</f>
        <v>0</v>
      </c>
      <c r="F71" s="7">
        <f>'Adjust'!D$279</f>
        <v>0</v>
      </c>
      <c r="G71" s="35">
        <f>'Adjust'!E$279</f>
        <v>0</v>
      </c>
      <c r="H71" s="35">
        <f>'Adjust'!F$279</f>
        <v>0</v>
      </c>
      <c r="I71" s="7">
        <f>'Adjust'!G$279</f>
        <v>0</v>
      </c>
      <c r="J71" s="13" t="s">
        <v>5</v>
      </c>
      <c r="K71" s="10"/>
    </row>
    <row r="72" spans="1:11">
      <c r="A72" s="11" t="s">
        <v>276</v>
      </c>
      <c r="B72" s="13" t="s">
        <v>5</v>
      </c>
      <c r="C72" s="36">
        <v>8</v>
      </c>
      <c r="D72" s="7">
        <f>'Adjust'!B$282</f>
        <v>0</v>
      </c>
      <c r="E72" s="7">
        <f>'Adjust'!C$282</f>
        <v>0</v>
      </c>
      <c r="F72" s="7">
        <f>'Adjust'!D$282</f>
        <v>0</v>
      </c>
      <c r="G72" s="35">
        <f>'Adjust'!E$282</f>
        <v>0</v>
      </c>
      <c r="H72" s="35">
        <f>'Adjust'!F$282</f>
        <v>0</v>
      </c>
      <c r="I72" s="7">
        <f>'Adjust'!G$282</f>
        <v>0</v>
      </c>
      <c r="J72" s="13" t="s">
        <v>5</v>
      </c>
      <c r="K72" s="10"/>
    </row>
    <row r="73" spans="1:11">
      <c r="A73" s="11" t="s">
        <v>279</v>
      </c>
      <c r="B73" s="13" t="s">
        <v>5</v>
      </c>
      <c r="C73" s="36"/>
      <c r="D73" s="7">
        <f>'Adjust'!B$286</f>
        <v>0</v>
      </c>
      <c r="E73" s="7">
        <f>'Adjust'!C$286</f>
        <v>0</v>
      </c>
      <c r="F73" s="7">
        <f>'Adjust'!D$286</f>
        <v>0</v>
      </c>
      <c r="G73" s="35">
        <f>'Adjust'!E$286</f>
        <v>0</v>
      </c>
      <c r="H73" s="35">
        <f>'Adjust'!F$286</f>
        <v>0</v>
      </c>
      <c r="I73" s="7">
        <f>'Adjust'!G$286</f>
        <v>0</v>
      </c>
      <c r="J73" s="13" t="s">
        <v>5</v>
      </c>
      <c r="K73" s="10"/>
    </row>
    <row r="74" spans="1:11">
      <c r="A74" s="11" t="s">
        <v>282</v>
      </c>
      <c r="B74" s="13" t="s">
        <v>5</v>
      </c>
      <c r="C74" s="36"/>
      <c r="D74" s="7">
        <f>'Adjust'!B$290</f>
        <v>0</v>
      </c>
      <c r="E74" s="7">
        <f>'Adjust'!C$290</f>
        <v>0</v>
      </c>
      <c r="F74" s="7">
        <f>'Adjust'!D$290</f>
        <v>0</v>
      </c>
      <c r="G74" s="35">
        <f>'Adjust'!E$290</f>
        <v>0</v>
      </c>
      <c r="H74" s="35">
        <f>'Adjust'!F$290</f>
        <v>0</v>
      </c>
      <c r="I74" s="7">
        <f>'Adjust'!G$290</f>
        <v>0</v>
      </c>
      <c r="J74" s="13" t="s">
        <v>5</v>
      </c>
      <c r="K74" s="10"/>
    </row>
    <row r="75" spans="1:11">
      <c r="A75" s="11" t="s">
        <v>284</v>
      </c>
      <c r="B75" s="13" t="s">
        <v>5</v>
      </c>
      <c r="C75" s="36"/>
      <c r="D75" s="7">
        <f>'Adjust'!B$293</f>
        <v>0</v>
      </c>
      <c r="E75" s="7">
        <f>'Adjust'!C$293</f>
        <v>0</v>
      </c>
      <c r="F75" s="7">
        <f>'Adjust'!D$293</f>
        <v>0</v>
      </c>
      <c r="G75" s="35">
        <f>'Adjust'!E$293</f>
        <v>0</v>
      </c>
      <c r="H75" s="35">
        <f>'Adjust'!F$293</f>
        <v>0</v>
      </c>
      <c r="I75" s="7">
        <f>'Adjust'!G$293</f>
        <v>0</v>
      </c>
      <c r="J75" s="13" t="s">
        <v>5</v>
      </c>
      <c r="K75" s="10"/>
    </row>
    <row r="76" spans="1:11">
      <c r="A76" s="11" t="s">
        <v>286</v>
      </c>
      <c r="B76" s="13" t="s">
        <v>5</v>
      </c>
      <c r="C76" s="36"/>
      <c r="D76" s="7">
        <f>'Adjust'!B$296</f>
        <v>0</v>
      </c>
      <c r="E76" s="7">
        <f>'Adjust'!C$296</f>
        <v>0</v>
      </c>
      <c r="F76" s="7">
        <f>'Adjust'!D$296</f>
        <v>0</v>
      </c>
      <c r="G76" s="35">
        <f>'Adjust'!E$296</f>
        <v>0</v>
      </c>
      <c r="H76" s="35">
        <f>'Adjust'!F$296</f>
        <v>0</v>
      </c>
      <c r="I76" s="7">
        <f>'Adjust'!G$296</f>
        <v>0</v>
      </c>
      <c r="J76" s="13" t="s">
        <v>5</v>
      </c>
      <c r="K76" s="10"/>
    </row>
    <row r="77" spans="1:11">
      <c r="A77" s="11" t="s">
        <v>288</v>
      </c>
      <c r="B77" s="13" t="s">
        <v>5</v>
      </c>
      <c r="C77" s="36"/>
      <c r="D77" s="7">
        <f>'Adjust'!B$299</f>
        <v>0</v>
      </c>
      <c r="E77" s="7">
        <f>'Adjust'!C$299</f>
        <v>0</v>
      </c>
      <c r="F77" s="7">
        <f>'Adjust'!D$299</f>
        <v>0</v>
      </c>
      <c r="G77" s="35">
        <f>'Adjust'!E$299</f>
        <v>0</v>
      </c>
      <c r="H77" s="35">
        <f>'Adjust'!F$299</f>
        <v>0</v>
      </c>
      <c r="I77" s="7">
        <f>'Adjust'!G$299</f>
        <v>0</v>
      </c>
      <c r="J77" s="13" t="s">
        <v>5</v>
      </c>
      <c r="K77" s="10"/>
    </row>
    <row r="78" spans="1:11">
      <c r="A78" s="11" t="s">
        <v>290</v>
      </c>
      <c r="B78" s="13" t="s">
        <v>5</v>
      </c>
      <c r="C78" s="36"/>
      <c r="D78" s="7">
        <f>'Adjust'!B$302</f>
        <v>0</v>
      </c>
      <c r="E78" s="7">
        <f>'Adjust'!C$302</f>
        <v>0</v>
      </c>
      <c r="F78" s="7">
        <f>'Adjust'!D$302</f>
        <v>0</v>
      </c>
      <c r="G78" s="35">
        <f>'Adjust'!E$302</f>
        <v>0</v>
      </c>
      <c r="H78" s="35">
        <f>'Adjust'!F$302</f>
        <v>0</v>
      </c>
      <c r="I78" s="7">
        <f>'Adjust'!G$302</f>
        <v>0</v>
      </c>
      <c r="J78" s="13" t="s">
        <v>5</v>
      </c>
      <c r="K78" s="10"/>
    </row>
  </sheetData>
  <sheetProtection sheet="1" objects="1" scenarios="1"/>
  <hyperlinks>
    <hyperlink ref="A5" location="'Adjust'!B213" display="x1 = 3607. Unit rate 1 p/kWh (in Tariffs)"/>
    <hyperlink ref="A6" location="'Adjust'!C213" display="x2 = 3607. Unit rate 2 p/kWh (in Tariffs)"/>
    <hyperlink ref="A7" location="'Adjust'!D213" display="x3 = 3607. Unit rate 3 p/kWh (in Tariffs)"/>
    <hyperlink ref="A8" location="'Adjust'!E213" display="x4 = 3607. Fixed charge p/MPAN/day (in Tariffs)"/>
    <hyperlink ref="A9" location="'Adjust'!F213" display="x5 = 3607. Capacity charge p/kVA/day (in Tariffs)"/>
    <hyperlink ref="A10" location="'Adjust'!G213" display="x6 = 3607. Reactive power charge p/kVArh (in Tariffs)"/>
  </hyperlinks>
  <pageMargins left="0.7" right="0.7" top="0.75" bottom="0.75" header="0.3" footer="0.3"/>
  <pageSetup orientation="portrait"/>
  <headerFooter>
    <oddHeader>&amp;L&amp;A&amp;Cr6432&amp;R&amp;P of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5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>
      <c r="A1" s="1">
        <f>"Summary statistics"&amp;" for "&amp;'Input'!B7&amp;" in "&amp;'Input'!C7&amp;" ("&amp;'Input'!D7&amp;")"</f>
        <v>0</v>
      </c>
    </row>
    <row r="2" spans="1:1">
      <c r="A2" s="2" t="s">
        <v>1502</v>
      </c>
    </row>
    <row r="4" spans="1:1">
      <c r="A4" s="1" t="s">
        <v>1503</v>
      </c>
    </row>
    <row r="5" spans="1:1">
      <c r="A5" s="2" t="s">
        <v>1504</v>
      </c>
    </row>
    <row r="6" spans="1:1">
      <c r="A6" s="2" t="s">
        <v>1505</v>
      </c>
    </row>
    <row r="7" spans="1:1">
      <c r="A7" s="2" t="s">
        <v>1506</v>
      </c>
    </row>
    <row r="8" spans="1:1">
      <c r="A8" s="2" t="s">
        <v>1507</v>
      </c>
    </row>
    <row r="9" spans="1:1">
      <c r="A9" s="2" t="s">
        <v>1508</v>
      </c>
    </row>
    <row r="10" spans="1:1">
      <c r="A10" s="2" t="s">
        <v>1509</v>
      </c>
    </row>
    <row r="11" spans="1:1">
      <c r="A11" s="2" t="s">
        <v>1510</v>
      </c>
    </row>
    <row r="12" spans="1:1">
      <c r="A12" s="2" t="s">
        <v>1511</v>
      </c>
    </row>
    <row r="13" spans="1:1">
      <c r="A13" s="2" t="s">
        <v>349</v>
      </c>
    </row>
    <row r="14" spans="1:1">
      <c r="A14" s="12" t="s">
        <v>466</v>
      </c>
    </row>
    <row r="15" spans="1:1">
      <c r="A15" s="12" t="s">
        <v>1512</v>
      </c>
    </row>
    <row r="16" spans="1:1">
      <c r="A16" s="12" t="s">
        <v>1513</v>
      </c>
    </row>
    <row r="17" spans="1:6">
      <c r="A17" s="12" t="s">
        <v>1514</v>
      </c>
    </row>
    <row r="18" spans="1:6">
      <c r="A18" s="12" t="s">
        <v>1515</v>
      </c>
    </row>
    <row r="19" spans="1:6">
      <c r="A19" s="26" t="s">
        <v>352</v>
      </c>
      <c r="B19" s="26" t="s">
        <v>411</v>
      </c>
      <c r="C19" s="26" t="s">
        <v>411</v>
      </c>
      <c r="D19" s="26" t="s">
        <v>411</v>
      </c>
      <c r="E19" s="26" t="s">
        <v>482</v>
      </c>
    </row>
    <row r="20" spans="1:6">
      <c r="A20" s="26" t="s">
        <v>355</v>
      </c>
      <c r="B20" s="26" t="s">
        <v>955</v>
      </c>
      <c r="C20" s="26" t="s">
        <v>414</v>
      </c>
      <c r="D20" s="26" t="s">
        <v>1495</v>
      </c>
      <c r="E20" s="26" t="s">
        <v>1516</v>
      </c>
    </row>
    <row r="22" spans="1:6">
      <c r="B22" s="3" t="s">
        <v>129</v>
      </c>
      <c r="C22" s="3" t="s">
        <v>1467</v>
      </c>
      <c r="D22" s="3" t="s">
        <v>1470</v>
      </c>
      <c r="E22" s="3" t="s">
        <v>1517</v>
      </c>
    </row>
    <row r="23" spans="1:6">
      <c r="A23" s="11" t="s">
        <v>1518</v>
      </c>
      <c r="B23" s="5">
        <f>'Input'!D58</f>
        <v>0</v>
      </c>
      <c r="C23" s="33">
        <f>'Adjust'!C198</f>
        <v>0</v>
      </c>
      <c r="D23" s="33">
        <f>'Adjust'!F198</f>
        <v>0</v>
      </c>
      <c r="E23" s="29">
        <f>D23/'Revenue'!B$53</f>
        <v>0</v>
      </c>
      <c r="F23" s="10"/>
    </row>
    <row r="25" spans="1:6">
      <c r="A25" s="1" t="s">
        <v>1519</v>
      </c>
    </row>
    <row r="26" spans="1:6">
      <c r="A26" s="2" t="s">
        <v>349</v>
      </c>
    </row>
    <row r="27" spans="1:6">
      <c r="A27" s="12" t="s">
        <v>1520</v>
      </c>
    </row>
    <row r="28" spans="1:6">
      <c r="A28" s="12" t="s">
        <v>1521</v>
      </c>
    </row>
    <row r="29" spans="1:6">
      <c r="A29" s="12" t="s">
        <v>1522</v>
      </c>
    </row>
    <row r="30" spans="1:6">
      <c r="A30" s="12" t="s">
        <v>1523</v>
      </c>
    </row>
    <row r="31" spans="1:6">
      <c r="A31" s="12" t="s">
        <v>663</v>
      </c>
    </row>
    <row r="32" spans="1:6">
      <c r="A32" s="12" t="s">
        <v>1524</v>
      </c>
    </row>
    <row r="33" spans="1:1">
      <c r="A33" s="12" t="s">
        <v>1525</v>
      </c>
    </row>
    <row r="34" spans="1:1">
      <c r="A34" s="12" t="s">
        <v>1526</v>
      </c>
    </row>
    <row r="35" spans="1:1">
      <c r="A35" s="12" t="s">
        <v>1527</v>
      </c>
    </row>
    <row r="36" spans="1:1">
      <c r="A36" s="12" t="s">
        <v>1528</v>
      </c>
    </row>
    <row r="37" spans="1:1">
      <c r="A37" s="12" t="s">
        <v>1529</v>
      </c>
    </row>
    <row r="38" spans="1:1">
      <c r="A38" s="12" t="s">
        <v>1530</v>
      </c>
    </row>
    <row r="39" spans="1:1">
      <c r="A39" s="12" t="s">
        <v>1531</v>
      </c>
    </row>
    <row r="40" spans="1:1">
      <c r="A40" s="12" t="s">
        <v>1532</v>
      </c>
    </row>
    <row r="41" spans="1:1">
      <c r="A41" s="12" t="s">
        <v>1533</v>
      </c>
    </row>
    <row r="42" spans="1:1">
      <c r="A42" s="12" t="s">
        <v>1534</v>
      </c>
    </row>
    <row r="43" spans="1:1">
      <c r="A43" s="12" t="s">
        <v>1535</v>
      </c>
    </row>
    <row r="44" spans="1:1">
      <c r="A44" s="12" t="s">
        <v>1536</v>
      </c>
    </row>
    <row r="45" spans="1:1">
      <c r="A45" s="12" t="s">
        <v>1537</v>
      </c>
    </row>
    <row r="46" spans="1:1">
      <c r="A46" s="12" t="s">
        <v>1538</v>
      </c>
    </row>
    <row r="47" spans="1:1">
      <c r="A47" s="12" t="s">
        <v>1539</v>
      </c>
    </row>
    <row r="48" spans="1:1">
      <c r="A48" s="12" t="s">
        <v>1540</v>
      </c>
    </row>
    <row r="49" spans="1:21">
      <c r="A49" s="12" t="s">
        <v>1541</v>
      </c>
    </row>
    <row r="50" spans="1:21">
      <c r="A50" s="26" t="s">
        <v>352</v>
      </c>
      <c r="B50" s="26" t="s">
        <v>482</v>
      </c>
      <c r="C50" s="26" t="s">
        <v>411</v>
      </c>
      <c r="D50" s="26" t="s">
        <v>482</v>
      </c>
      <c r="E50" s="26" t="s">
        <v>482</v>
      </c>
      <c r="F50" s="26" t="s">
        <v>482</v>
      </c>
      <c r="G50" s="26" t="s">
        <v>482</v>
      </c>
      <c r="H50" s="26" t="s">
        <v>482</v>
      </c>
      <c r="I50" s="26" t="s">
        <v>482</v>
      </c>
      <c r="J50" s="26" t="s">
        <v>482</v>
      </c>
      <c r="K50" s="26" t="s">
        <v>482</v>
      </c>
      <c r="L50" s="26" t="s">
        <v>482</v>
      </c>
      <c r="M50" s="26" t="s">
        <v>482</v>
      </c>
      <c r="N50" s="26" t="s">
        <v>482</v>
      </c>
      <c r="O50" s="26" t="s">
        <v>482</v>
      </c>
      <c r="P50" s="26" t="s">
        <v>482</v>
      </c>
      <c r="Q50" s="26" t="s">
        <v>482</v>
      </c>
      <c r="R50" s="26" t="s">
        <v>482</v>
      </c>
      <c r="S50" s="26" t="s">
        <v>482</v>
      </c>
      <c r="T50" s="26" t="s">
        <v>482</v>
      </c>
    </row>
    <row r="51" spans="1:21">
      <c r="A51" s="26" t="s">
        <v>355</v>
      </c>
      <c r="B51" s="26" t="s">
        <v>1542</v>
      </c>
      <c r="C51" s="26" t="s">
        <v>1496</v>
      </c>
      <c r="D51" s="26" t="s">
        <v>1543</v>
      </c>
      <c r="E51" s="26" t="s">
        <v>1544</v>
      </c>
      <c r="F51" s="26" t="s">
        <v>1545</v>
      </c>
      <c r="G51" s="26" t="s">
        <v>1546</v>
      </c>
      <c r="H51" s="26" t="s">
        <v>1547</v>
      </c>
      <c r="I51" s="26" t="s">
        <v>1548</v>
      </c>
      <c r="J51" s="26" t="s">
        <v>1549</v>
      </c>
      <c r="K51" s="26" t="s">
        <v>1550</v>
      </c>
      <c r="L51" s="26" t="s">
        <v>1551</v>
      </c>
      <c r="M51" s="26" t="s">
        <v>1552</v>
      </c>
      <c r="N51" s="26" t="s">
        <v>1553</v>
      </c>
      <c r="O51" s="26" t="s">
        <v>1554</v>
      </c>
      <c r="P51" s="26" t="s">
        <v>1555</v>
      </c>
      <c r="Q51" s="26" t="s">
        <v>1556</v>
      </c>
      <c r="R51" s="26" t="s">
        <v>1557</v>
      </c>
      <c r="S51" s="26" t="s">
        <v>1558</v>
      </c>
      <c r="T51" s="26" t="s">
        <v>1559</v>
      </c>
    </row>
    <row r="53" spans="1:21">
      <c r="B53" s="3" t="s">
        <v>570</v>
      </c>
      <c r="C53" s="3" t="s">
        <v>224</v>
      </c>
      <c r="D53" s="3" t="s">
        <v>1560</v>
      </c>
      <c r="E53" s="3" t="s">
        <v>1561</v>
      </c>
      <c r="F53" s="3" t="s">
        <v>1562</v>
      </c>
      <c r="G53" s="3" t="s">
        <v>1563</v>
      </c>
      <c r="H53" s="3" t="s">
        <v>1564</v>
      </c>
      <c r="I53" s="3" t="s">
        <v>1565</v>
      </c>
      <c r="J53" s="3" t="s">
        <v>1566</v>
      </c>
      <c r="K53" s="3" t="s">
        <v>1567</v>
      </c>
      <c r="L53" s="3" t="s">
        <v>1568</v>
      </c>
      <c r="M53" s="3" t="s">
        <v>1569</v>
      </c>
      <c r="N53" s="3" t="s">
        <v>1570</v>
      </c>
      <c r="O53" s="3" t="s">
        <v>1571</v>
      </c>
      <c r="P53" s="3" t="s">
        <v>1572</v>
      </c>
      <c r="Q53" s="3" t="s">
        <v>1573</v>
      </c>
      <c r="R53" s="3" t="s">
        <v>1574</v>
      </c>
      <c r="S53" s="3" t="s">
        <v>1575</v>
      </c>
      <c r="T53" s="3" t="s">
        <v>1576</v>
      </c>
    </row>
    <row r="54" spans="1:21">
      <c r="A54" s="22" t="s">
        <v>227</v>
      </c>
      <c r="U54" s="10"/>
    </row>
    <row r="55" spans="1:21">
      <c r="A55" s="11" t="s">
        <v>172</v>
      </c>
      <c r="B55" s="17">
        <f>'Input'!B183+'Input'!C183+'Input'!D183</f>
        <v>0</v>
      </c>
      <c r="C55" s="33">
        <f>'Input'!E183</f>
        <v>0</v>
      </c>
      <c r="D55" s="17">
        <f>0.01*'Input'!F$58*('Adjust'!$E215*'Input'!E183+'Adjust'!$F215*'Input'!F183)+10*('Adjust'!$B215*'Input'!B183+'Adjust'!$C215*'Input'!C183+'Adjust'!$D215*'Input'!D183+'Adjust'!$G215*'Input'!G183)</f>
        <v>0</v>
      </c>
      <c r="E55" s="17">
        <f>10*('Adjust'!$B215*'Input'!B183+'Adjust'!$C215*'Input'!C183+'Adjust'!$D215*'Input'!D183)</f>
        <v>0</v>
      </c>
      <c r="F55" s="17">
        <f>'Adjust'!E215*'Input'!$F$58*'Input'!$E183/100</f>
        <v>0</v>
      </c>
      <c r="G55" s="17">
        <f>'Adjust'!F215*'Input'!$F$58*'Input'!$F183/100</f>
        <v>0</v>
      </c>
      <c r="H55" s="17">
        <f>'Adjust'!G215*'Input'!$G183*10</f>
        <v>0</v>
      </c>
      <c r="I55" s="6">
        <f>IF(B55&lt;&gt;0,0.1*D55/B55,"")</f>
        <v>0</v>
      </c>
      <c r="J55" s="35">
        <f>IF(C55&lt;&gt;0,D55/C55,"")</f>
        <v>0</v>
      </c>
      <c r="K55" s="6">
        <f>IF(B55&lt;&gt;0,0.1*E55/B55,0)</f>
        <v>0</v>
      </c>
      <c r="L55" s="17">
        <f>'Adjust'!B215*'Input'!$B183*10</f>
        <v>0</v>
      </c>
      <c r="M55" s="17">
        <f>'Adjust'!C215*'Input'!$C183*10</f>
        <v>0</v>
      </c>
      <c r="N55" s="17">
        <f>'Adjust'!D215*'Input'!$D183*10</f>
        <v>0</v>
      </c>
      <c r="O55" s="29">
        <f>IF(E55&lt;&gt;0,$L55/E55,"")</f>
        <v>0</v>
      </c>
      <c r="P55" s="29">
        <f>IF(E55&lt;&gt;0,$M55/E55,"")</f>
        <v>0</v>
      </c>
      <c r="Q55" s="29">
        <f>IF(E55&lt;&gt;0,$N55/E55,"")</f>
        <v>0</v>
      </c>
      <c r="R55" s="29">
        <f>IF(D55&lt;&gt;0,$F55/D55,"")</f>
        <v>0</v>
      </c>
      <c r="S55" s="29">
        <f>IF(D55&lt;&gt;0,$G55/D55,"")</f>
        <v>0</v>
      </c>
      <c r="T55" s="29">
        <f>IF(D55&lt;&gt;0,$H55/D55,"")</f>
        <v>0</v>
      </c>
      <c r="U55" s="10"/>
    </row>
    <row r="56" spans="1:21">
      <c r="A56" s="11" t="s">
        <v>228</v>
      </c>
      <c r="B56" s="17">
        <f>'Input'!B184+'Input'!C184+'Input'!D184</f>
        <v>0</v>
      </c>
      <c r="C56" s="33">
        <f>'Input'!E184</f>
        <v>0</v>
      </c>
      <c r="D56" s="17">
        <f>0.01*'Input'!F$58*('Adjust'!$E216*'Input'!E184+'Adjust'!$F216*'Input'!F184)+10*('Adjust'!$B216*'Input'!B184+'Adjust'!$C216*'Input'!C184+'Adjust'!$D216*'Input'!D184+'Adjust'!$G216*'Input'!G184)</f>
        <v>0</v>
      </c>
      <c r="E56" s="17">
        <f>10*('Adjust'!$B216*'Input'!B184+'Adjust'!$C216*'Input'!C184+'Adjust'!$D216*'Input'!D184)</f>
        <v>0</v>
      </c>
      <c r="F56" s="17">
        <f>'Adjust'!E216*'Input'!$F$58*'Input'!$E184/100</f>
        <v>0</v>
      </c>
      <c r="G56" s="17">
        <f>'Adjust'!F216*'Input'!$F$58*'Input'!$F184/100</f>
        <v>0</v>
      </c>
      <c r="H56" s="17">
        <f>'Adjust'!G216*'Input'!$G184*10</f>
        <v>0</v>
      </c>
      <c r="I56" s="6">
        <f>IF(B56&lt;&gt;0,0.1*D56/B56,"")</f>
        <v>0</v>
      </c>
      <c r="J56" s="35">
        <f>IF(C56&lt;&gt;0,D56/C56,"")</f>
        <v>0</v>
      </c>
      <c r="K56" s="6">
        <f>IF(B56&lt;&gt;0,0.1*E56/B56,0)</f>
        <v>0</v>
      </c>
      <c r="L56" s="17">
        <f>'Adjust'!B216*'Input'!$B184*10</f>
        <v>0</v>
      </c>
      <c r="M56" s="17">
        <f>'Adjust'!C216*'Input'!$C184*10</f>
        <v>0</v>
      </c>
      <c r="N56" s="17">
        <f>'Adjust'!D216*'Input'!$D184*10</f>
        <v>0</v>
      </c>
      <c r="O56" s="29">
        <f>IF(E56&lt;&gt;0,$L56/E56,"")</f>
        <v>0</v>
      </c>
      <c r="P56" s="29">
        <f>IF(E56&lt;&gt;0,$M56/E56,"")</f>
        <v>0</v>
      </c>
      <c r="Q56" s="29">
        <f>IF(E56&lt;&gt;0,$N56/E56,"")</f>
        <v>0</v>
      </c>
      <c r="R56" s="29">
        <f>IF(D56&lt;&gt;0,$F56/D56,"")</f>
        <v>0</v>
      </c>
      <c r="S56" s="29">
        <f>IF(D56&lt;&gt;0,$G56/D56,"")</f>
        <v>0</v>
      </c>
      <c r="T56" s="29">
        <f>IF(D56&lt;&gt;0,$H56/D56,"")</f>
        <v>0</v>
      </c>
      <c r="U56" s="10"/>
    </row>
    <row r="57" spans="1:21">
      <c r="A57" s="11" t="s">
        <v>229</v>
      </c>
      <c r="B57" s="17">
        <f>'Input'!B185+'Input'!C185+'Input'!D185</f>
        <v>0</v>
      </c>
      <c r="C57" s="33">
        <f>'Input'!E185</f>
        <v>0</v>
      </c>
      <c r="D57" s="17">
        <f>0.01*'Input'!F$58*('Adjust'!$E217*'Input'!E185+'Adjust'!$F217*'Input'!F185)+10*('Adjust'!$B217*'Input'!B185+'Adjust'!$C217*'Input'!C185+'Adjust'!$D217*'Input'!D185+'Adjust'!$G217*'Input'!G185)</f>
        <v>0</v>
      </c>
      <c r="E57" s="17">
        <f>10*('Adjust'!$B217*'Input'!B185+'Adjust'!$C217*'Input'!C185+'Adjust'!$D217*'Input'!D185)</f>
        <v>0</v>
      </c>
      <c r="F57" s="17">
        <f>'Adjust'!E217*'Input'!$F$58*'Input'!$E185/100</f>
        <v>0</v>
      </c>
      <c r="G57" s="17">
        <f>'Adjust'!F217*'Input'!$F$58*'Input'!$F185/100</f>
        <v>0</v>
      </c>
      <c r="H57" s="17">
        <f>'Adjust'!G217*'Input'!$G185*10</f>
        <v>0</v>
      </c>
      <c r="I57" s="6">
        <f>IF(B57&lt;&gt;0,0.1*D57/B57,"")</f>
        <v>0</v>
      </c>
      <c r="J57" s="35">
        <f>IF(C57&lt;&gt;0,D57/C57,"")</f>
        <v>0</v>
      </c>
      <c r="K57" s="6">
        <f>IF(B57&lt;&gt;0,0.1*E57/B57,0)</f>
        <v>0</v>
      </c>
      <c r="L57" s="17">
        <f>'Adjust'!B217*'Input'!$B185*10</f>
        <v>0</v>
      </c>
      <c r="M57" s="17">
        <f>'Adjust'!C217*'Input'!$C185*10</f>
        <v>0</v>
      </c>
      <c r="N57" s="17">
        <f>'Adjust'!D217*'Input'!$D185*10</f>
        <v>0</v>
      </c>
      <c r="O57" s="29">
        <f>IF(E57&lt;&gt;0,$L57/E57,"")</f>
        <v>0</v>
      </c>
      <c r="P57" s="29">
        <f>IF(E57&lt;&gt;0,$M57/E57,"")</f>
        <v>0</v>
      </c>
      <c r="Q57" s="29">
        <f>IF(E57&lt;&gt;0,$N57/E57,"")</f>
        <v>0</v>
      </c>
      <c r="R57" s="29">
        <f>IF(D57&lt;&gt;0,$F57/D57,"")</f>
        <v>0</v>
      </c>
      <c r="S57" s="29">
        <f>IF(D57&lt;&gt;0,$G57/D57,"")</f>
        <v>0</v>
      </c>
      <c r="T57" s="29">
        <f>IF(D57&lt;&gt;0,$H57/D57,"")</f>
        <v>0</v>
      </c>
      <c r="U57" s="10"/>
    </row>
    <row r="58" spans="1:21">
      <c r="A58" s="22" t="s">
        <v>230</v>
      </c>
      <c r="U58" s="10"/>
    </row>
    <row r="59" spans="1:21">
      <c r="A59" s="11" t="s">
        <v>173</v>
      </c>
      <c r="B59" s="17">
        <f>'Input'!B187+'Input'!C187+'Input'!D187</f>
        <v>0</v>
      </c>
      <c r="C59" s="33">
        <f>'Input'!E187</f>
        <v>0</v>
      </c>
      <c r="D59" s="17">
        <f>0.01*'Input'!F$58*('Adjust'!$E219*'Input'!E187+'Adjust'!$F219*'Input'!F187)+10*('Adjust'!$B219*'Input'!B187+'Adjust'!$C219*'Input'!C187+'Adjust'!$D219*'Input'!D187+'Adjust'!$G219*'Input'!G187)</f>
        <v>0</v>
      </c>
      <c r="E59" s="17">
        <f>10*('Adjust'!$B219*'Input'!B187+'Adjust'!$C219*'Input'!C187+'Adjust'!$D219*'Input'!D187)</f>
        <v>0</v>
      </c>
      <c r="F59" s="17">
        <f>'Adjust'!E219*'Input'!$F$58*'Input'!$E187/100</f>
        <v>0</v>
      </c>
      <c r="G59" s="17">
        <f>'Adjust'!F219*'Input'!$F$58*'Input'!$F187/100</f>
        <v>0</v>
      </c>
      <c r="H59" s="17">
        <f>'Adjust'!G219*'Input'!$G187*10</f>
        <v>0</v>
      </c>
      <c r="I59" s="6">
        <f>IF(B59&lt;&gt;0,0.1*D59/B59,"")</f>
        <v>0</v>
      </c>
      <c r="J59" s="35">
        <f>IF(C59&lt;&gt;0,D59/C59,"")</f>
        <v>0</v>
      </c>
      <c r="K59" s="6">
        <f>IF(B59&lt;&gt;0,0.1*E59/B59,0)</f>
        <v>0</v>
      </c>
      <c r="L59" s="17">
        <f>'Adjust'!B219*'Input'!$B187*10</f>
        <v>0</v>
      </c>
      <c r="M59" s="17">
        <f>'Adjust'!C219*'Input'!$C187*10</f>
        <v>0</v>
      </c>
      <c r="N59" s="17">
        <f>'Adjust'!D219*'Input'!$D187*10</f>
        <v>0</v>
      </c>
      <c r="O59" s="29">
        <f>IF(E59&lt;&gt;0,$L59/E59,"")</f>
        <v>0</v>
      </c>
      <c r="P59" s="29">
        <f>IF(E59&lt;&gt;0,$M59/E59,"")</f>
        <v>0</v>
      </c>
      <c r="Q59" s="29">
        <f>IF(E59&lt;&gt;0,$N59/E59,"")</f>
        <v>0</v>
      </c>
      <c r="R59" s="29">
        <f>IF(D59&lt;&gt;0,$F59/D59,"")</f>
        <v>0</v>
      </c>
      <c r="S59" s="29">
        <f>IF(D59&lt;&gt;0,$G59/D59,"")</f>
        <v>0</v>
      </c>
      <c r="T59" s="29">
        <f>IF(D59&lt;&gt;0,$H59/D59,"")</f>
        <v>0</v>
      </c>
      <c r="U59" s="10"/>
    </row>
    <row r="60" spans="1:21">
      <c r="A60" s="11" t="s">
        <v>231</v>
      </c>
      <c r="B60" s="17">
        <f>'Input'!B188+'Input'!C188+'Input'!D188</f>
        <v>0</v>
      </c>
      <c r="C60" s="33">
        <f>'Input'!E188</f>
        <v>0</v>
      </c>
      <c r="D60" s="17">
        <f>0.01*'Input'!F$58*('Adjust'!$E220*'Input'!E188+'Adjust'!$F220*'Input'!F188)+10*('Adjust'!$B220*'Input'!B188+'Adjust'!$C220*'Input'!C188+'Adjust'!$D220*'Input'!D188+'Adjust'!$G220*'Input'!G188)</f>
        <v>0</v>
      </c>
      <c r="E60" s="17">
        <f>10*('Adjust'!$B220*'Input'!B188+'Adjust'!$C220*'Input'!C188+'Adjust'!$D220*'Input'!D188)</f>
        <v>0</v>
      </c>
      <c r="F60" s="17">
        <f>'Adjust'!E220*'Input'!$F$58*'Input'!$E188/100</f>
        <v>0</v>
      </c>
      <c r="G60" s="17">
        <f>'Adjust'!F220*'Input'!$F$58*'Input'!$F188/100</f>
        <v>0</v>
      </c>
      <c r="H60" s="17">
        <f>'Adjust'!G220*'Input'!$G188*10</f>
        <v>0</v>
      </c>
      <c r="I60" s="6">
        <f>IF(B60&lt;&gt;0,0.1*D60/B60,"")</f>
        <v>0</v>
      </c>
      <c r="J60" s="35">
        <f>IF(C60&lt;&gt;0,D60/C60,"")</f>
        <v>0</v>
      </c>
      <c r="K60" s="6">
        <f>IF(B60&lt;&gt;0,0.1*E60/B60,0)</f>
        <v>0</v>
      </c>
      <c r="L60" s="17">
        <f>'Adjust'!B220*'Input'!$B188*10</f>
        <v>0</v>
      </c>
      <c r="M60" s="17">
        <f>'Adjust'!C220*'Input'!$C188*10</f>
        <v>0</v>
      </c>
      <c r="N60" s="17">
        <f>'Adjust'!D220*'Input'!$D188*10</f>
        <v>0</v>
      </c>
      <c r="O60" s="29">
        <f>IF(E60&lt;&gt;0,$L60/E60,"")</f>
        <v>0</v>
      </c>
      <c r="P60" s="29">
        <f>IF(E60&lt;&gt;0,$M60/E60,"")</f>
        <v>0</v>
      </c>
      <c r="Q60" s="29">
        <f>IF(E60&lt;&gt;0,$N60/E60,"")</f>
        <v>0</v>
      </c>
      <c r="R60" s="29">
        <f>IF(D60&lt;&gt;0,$F60/D60,"")</f>
        <v>0</v>
      </c>
      <c r="S60" s="29">
        <f>IF(D60&lt;&gt;0,$G60/D60,"")</f>
        <v>0</v>
      </c>
      <c r="T60" s="29">
        <f>IF(D60&lt;&gt;0,$H60/D60,"")</f>
        <v>0</v>
      </c>
      <c r="U60" s="10"/>
    </row>
    <row r="61" spans="1:21">
      <c r="A61" s="11" t="s">
        <v>232</v>
      </c>
      <c r="B61" s="17">
        <f>'Input'!B189+'Input'!C189+'Input'!D189</f>
        <v>0</v>
      </c>
      <c r="C61" s="33">
        <f>'Input'!E189</f>
        <v>0</v>
      </c>
      <c r="D61" s="17">
        <f>0.01*'Input'!F$58*('Adjust'!$E221*'Input'!E189+'Adjust'!$F221*'Input'!F189)+10*('Adjust'!$B221*'Input'!B189+'Adjust'!$C221*'Input'!C189+'Adjust'!$D221*'Input'!D189+'Adjust'!$G221*'Input'!G189)</f>
        <v>0</v>
      </c>
      <c r="E61" s="17">
        <f>10*('Adjust'!$B221*'Input'!B189+'Adjust'!$C221*'Input'!C189+'Adjust'!$D221*'Input'!D189)</f>
        <v>0</v>
      </c>
      <c r="F61" s="17">
        <f>'Adjust'!E221*'Input'!$F$58*'Input'!$E189/100</f>
        <v>0</v>
      </c>
      <c r="G61" s="17">
        <f>'Adjust'!F221*'Input'!$F$58*'Input'!$F189/100</f>
        <v>0</v>
      </c>
      <c r="H61" s="17">
        <f>'Adjust'!G221*'Input'!$G189*10</f>
        <v>0</v>
      </c>
      <c r="I61" s="6">
        <f>IF(B61&lt;&gt;0,0.1*D61/B61,"")</f>
        <v>0</v>
      </c>
      <c r="J61" s="35">
        <f>IF(C61&lt;&gt;0,D61/C61,"")</f>
        <v>0</v>
      </c>
      <c r="K61" s="6">
        <f>IF(B61&lt;&gt;0,0.1*E61/B61,0)</f>
        <v>0</v>
      </c>
      <c r="L61" s="17">
        <f>'Adjust'!B221*'Input'!$B189*10</f>
        <v>0</v>
      </c>
      <c r="M61" s="17">
        <f>'Adjust'!C221*'Input'!$C189*10</f>
        <v>0</v>
      </c>
      <c r="N61" s="17">
        <f>'Adjust'!D221*'Input'!$D189*10</f>
        <v>0</v>
      </c>
      <c r="O61" s="29">
        <f>IF(E61&lt;&gt;0,$L61/E61,"")</f>
        <v>0</v>
      </c>
      <c r="P61" s="29">
        <f>IF(E61&lt;&gt;0,$M61/E61,"")</f>
        <v>0</v>
      </c>
      <c r="Q61" s="29">
        <f>IF(E61&lt;&gt;0,$N61/E61,"")</f>
        <v>0</v>
      </c>
      <c r="R61" s="29">
        <f>IF(D61&lt;&gt;0,$F61/D61,"")</f>
        <v>0</v>
      </c>
      <c r="S61" s="29">
        <f>IF(D61&lt;&gt;0,$G61/D61,"")</f>
        <v>0</v>
      </c>
      <c r="T61" s="29">
        <f>IF(D61&lt;&gt;0,$H61/D61,"")</f>
        <v>0</v>
      </c>
      <c r="U61" s="10"/>
    </row>
    <row r="62" spans="1:21">
      <c r="A62" s="22" t="s">
        <v>233</v>
      </c>
      <c r="U62" s="10"/>
    </row>
    <row r="63" spans="1:21">
      <c r="A63" s="11" t="s">
        <v>210</v>
      </c>
      <c r="B63" s="17">
        <f>'Input'!B191+'Input'!C191+'Input'!D191</f>
        <v>0</v>
      </c>
      <c r="C63" s="33">
        <f>'Input'!E191</f>
        <v>0</v>
      </c>
      <c r="D63" s="17">
        <f>0.01*'Input'!F$58*('Adjust'!$E223*'Input'!E191+'Adjust'!$F223*'Input'!F191)+10*('Adjust'!$B223*'Input'!B191+'Adjust'!$C223*'Input'!C191+'Adjust'!$D223*'Input'!D191+'Adjust'!$G223*'Input'!G191)</f>
        <v>0</v>
      </c>
      <c r="E63" s="17">
        <f>10*('Adjust'!$B223*'Input'!B191+'Adjust'!$C223*'Input'!C191+'Adjust'!$D223*'Input'!D191)</f>
        <v>0</v>
      </c>
      <c r="F63" s="17">
        <f>'Adjust'!E223*'Input'!$F$58*'Input'!$E191/100</f>
        <v>0</v>
      </c>
      <c r="G63" s="17">
        <f>'Adjust'!F223*'Input'!$F$58*'Input'!$F191/100</f>
        <v>0</v>
      </c>
      <c r="H63" s="17">
        <f>'Adjust'!G223*'Input'!$G191*10</f>
        <v>0</v>
      </c>
      <c r="I63" s="6">
        <f>IF(B63&lt;&gt;0,0.1*D63/B63,"")</f>
        <v>0</v>
      </c>
      <c r="J63" s="35">
        <f>IF(C63&lt;&gt;0,D63/C63,"")</f>
        <v>0</v>
      </c>
      <c r="K63" s="6">
        <f>IF(B63&lt;&gt;0,0.1*E63/B63,0)</f>
        <v>0</v>
      </c>
      <c r="L63" s="17">
        <f>'Adjust'!B223*'Input'!$B191*10</f>
        <v>0</v>
      </c>
      <c r="M63" s="17">
        <f>'Adjust'!C223*'Input'!$C191*10</f>
        <v>0</v>
      </c>
      <c r="N63" s="17">
        <f>'Adjust'!D223*'Input'!$D191*10</f>
        <v>0</v>
      </c>
      <c r="O63" s="29">
        <f>IF(E63&lt;&gt;0,$L63/E63,"")</f>
        <v>0</v>
      </c>
      <c r="P63" s="29">
        <f>IF(E63&lt;&gt;0,$M63/E63,"")</f>
        <v>0</v>
      </c>
      <c r="Q63" s="29">
        <f>IF(E63&lt;&gt;0,$N63/E63,"")</f>
        <v>0</v>
      </c>
      <c r="R63" s="29">
        <f>IF(D63&lt;&gt;0,$F63/D63,"")</f>
        <v>0</v>
      </c>
      <c r="S63" s="29">
        <f>IF(D63&lt;&gt;0,$G63/D63,"")</f>
        <v>0</v>
      </c>
      <c r="T63" s="29">
        <f>IF(D63&lt;&gt;0,$H63/D63,"")</f>
        <v>0</v>
      </c>
      <c r="U63" s="10"/>
    </row>
    <row r="64" spans="1:21">
      <c r="A64" s="11" t="s">
        <v>234</v>
      </c>
      <c r="B64" s="17">
        <f>'Input'!B192+'Input'!C192+'Input'!D192</f>
        <v>0</v>
      </c>
      <c r="C64" s="33">
        <f>'Input'!E192</f>
        <v>0</v>
      </c>
      <c r="D64" s="17">
        <f>0.01*'Input'!F$58*('Adjust'!$E224*'Input'!E192+'Adjust'!$F224*'Input'!F192)+10*('Adjust'!$B224*'Input'!B192+'Adjust'!$C224*'Input'!C192+'Adjust'!$D224*'Input'!D192+'Adjust'!$G224*'Input'!G192)</f>
        <v>0</v>
      </c>
      <c r="E64" s="17">
        <f>10*('Adjust'!$B224*'Input'!B192+'Adjust'!$C224*'Input'!C192+'Adjust'!$D224*'Input'!D192)</f>
        <v>0</v>
      </c>
      <c r="F64" s="17">
        <f>'Adjust'!E224*'Input'!$F$58*'Input'!$E192/100</f>
        <v>0</v>
      </c>
      <c r="G64" s="17">
        <f>'Adjust'!F224*'Input'!$F$58*'Input'!$F192/100</f>
        <v>0</v>
      </c>
      <c r="H64" s="17">
        <f>'Adjust'!G224*'Input'!$G192*10</f>
        <v>0</v>
      </c>
      <c r="I64" s="6">
        <f>IF(B64&lt;&gt;0,0.1*D64/B64,"")</f>
        <v>0</v>
      </c>
      <c r="J64" s="35">
        <f>IF(C64&lt;&gt;0,D64/C64,"")</f>
        <v>0</v>
      </c>
      <c r="K64" s="6">
        <f>IF(B64&lt;&gt;0,0.1*E64/B64,0)</f>
        <v>0</v>
      </c>
      <c r="L64" s="17">
        <f>'Adjust'!B224*'Input'!$B192*10</f>
        <v>0</v>
      </c>
      <c r="M64" s="17">
        <f>'Adjust'!C224*'Input'!$C192*10</f>
        <v>0</v>
      </c>
      <c r="N64" s="17">
        <f>'Adjust'!D224*'Input'!$D192*10</f>
        <v>0</v>
      </c>
      <c r="O64" s="29">
        <f>IF(E64&lt;&gt;0,$L64/E64,"")</f>
        <v>0</v>
      </c>
      <c r="P64" s="29">
        <f>IF(E64&lt;&gt;0,$M64/E64,"")</f>
        <v>0</v>
      </c>
      <c r="Q64" s="29">
        <f>IF(E64&lt;&gt;0,$N64/E64,"")</f>
        <v>0</v>
      </c>
      <c r="R64" s="29">
        <f>IF(D64&lt;&gt;0,$F64/D64,"")</f>
        <v>0</v>
      </c>
      <c r="S64" s="29">
        <f>IF(D64&lt;&gt;0,$G64/D64,"")</f>
        <v>0</v>
      </c>
      <c r="T64" s="29">
        <f>IF(D64&lt;&gt;0,$H64/D64,"")</f>
        <v>0</v>
      </c>
      <c r="U64" s="10"/>
    </row>
    <row r="65" spans="1:21">
      <c r="A65" s="11" t="s">
        <v>235</v>
      </c>
      <c r="B65" s="17">
        <f>'Input'!B193+'Input'!C193+'Input'!D193</f>
        <v>0</v>
      </c>
      <c r="C65" s="33">
        <f>'Input'!E193</f>
        <v>0</v>
      </c>
      <c r="D65" s="17">
        <f>0.01*'Input'!F$58*('Adjust'!$E225*'Input'!E193+'Adjust'!$F225*'Input'!F193)+10*('Adjust'!$B225*'Input'!B193+'Adjust'!$C225*'Input'!C193+'Adjust'!$D225*'Input'!D193+'Adjust'!$G225*'Input'!G193)</f>
        <v>0</v>
      </c>
      <c r="E65" s="17">
        <f>10*('Adjust'!$B225*'Input'!B193+'Adjust'!$C225*'Input'!C193+'Adjust'!$D225*'Input'!D193)</f>
        <v>0</v>
      </c>
      <c r="F65" s="17">
        <f>'Adjust'!E225*'Input'!$F$58*'Input'!$E193/100</f>
        <v>0</v>
      </c>
      <c r="G65" s="17">
        <f>'Adjust'!F225*'Input'!$F$58*'Input'!$F193/100</f>
        <v>0</v>
      </c>
      <c r="H65" s="17">
        <f>'Adjust'!G225*'Input'!$G193*10</f>
        <v>0</v>
      </c>
      <c r="I65" s="6">
        <f>IF(B65&lt;&gt;0,0.1*D65/B65,"")</f>
        <v>0</v>
      </c>
      <c r="J65" s="35">
        <f>IF(C65&lt;&gt;0,D65/C65,"")</f>
        <v>0</v>
      </c>
      <c r="K65" s="6">
        <f>IF(B65&lt;&gt;0,0.1*E65/B65,0)</f>
        <v>0</v>
      </c>
      <c r="L65" s="17">
        <f>'Adjust'!B225*'Input'!$B193*10</f>
        <v>0</v>
      </c>
      <c r="M65" s="17">
        <f>'Adjust'!C225*'Input'!$C193*10</f>
        <v>0</v>
      </c>
      <c r="N65" s="17">
        <f>'Adjust'!D225*'Input'!$D193*10</f>
        <v>0</v>
      </c>
      <c r="O65" s="29">
        <f>IF(E65&lt;&gt;0,$L65/E65,"")</f>
        <v>0</v>
      </c>
      <c r="P65" s="29">
        <f>IF(E65&lt;&gt;0,$M65/E65,"")</f>
        <v>0</v>
      </c>
      <c r="Q65" s="29">
        <f>IF(E65&lt;&gt;0,$N65/E65,"")</f>
        <v>0</v>
      </c>
      <c r="R65" s="29">
        <f>IF(D65&lt;&gt;0,$F65/D65,"")</f>
        <v>0</v>
      </c>
      <c r="S65" s="29">
        <f>IF(D65&lt;&gt;0,$G65/D65,"")</f>
        <v>0</v>
      </c>
      <c r="T65" s="29">
        <f>IF(D65&lt;&gt;0,$H65/D65,"")</f>
        <v>0</v>
      </c>
      <c r="U65" s="10"/>
    </row>
    <row r="66" spans="1:21">
      <c r="A66" s="22" t="s">
        <v>236</v>
      </c>
      <c r="U66" s="10"/>
    </row>
    <row r="67" spans="1:21">
      <c r="A67" s="11" t="s">
        <v>174</v>
      </c>
      <c r="B67" s="17">
        <f>'Input'!B195+'Input'!C195+'Input'!D195</f>
        <v>0</v>
      </c>
      <c r="C67" s="33">
        <f>'Input'!E195</f>
        <v>0</v>
      </c>
      <c r="D67" s="17">
        <f>0.01*'Input'!F$58*('Adjust'!$E227*'Input'!E195+'Adjust'!$F227*'Input'!F195)+10*('Adjust'!$B227*'Input'!B195+'Adjust'!$C227*'Input'!C195+'Adjust'!$D227*'Input'!D195+'Adjust'!$G227*'Input'!G195)</f>
        <v>0</v>
      </c>
      <c r="E67" s="17">
        <f>10*('Adjust'!$B227*'Input'!B195+'Adjust'!$C227*'Input'!C195+'Adjust'!$D227*'Input'!D195)</f>
        <v>0</v>
      </c>
      <c r="F67" s="17">
        <f>'Adjust'!E227*'Input'!$F$58*'Input'!$E195/100</f>
        <v>0</v>
      </c>
      <c r="G67" s="17">
        <f>'Adjust'!F227*'Input'!$F$58*'Input'!$F195/100</f>
        <v>0</v>
      </c>
      <c r="H67" s="17">
        <f>'Adjust'!G227*'Input'!$G195*10</f>
        <v>0</v>
      </c>
      <c r="I67" s="6">
        <f>IF(B67&lt;&gt;0,0.1*D67/B67,"")</f>
        <v>0</v>
      </c>
      <c r="J67" s="35">
        <f>IF(C67&lt;&gt;0,D67/C67,"")</f>
        <v>0</v>
      </c>
      <c r="K67" s="6">
        <f>IF(B67&lt;&gt;0,0.1*E67/B67,0)</f>
        <v>0</v>
      </c>
      <c r="L67" s="17">
        <f>'Adjust'!B227*'Input'!$B195*10</f>
        <v>0</v>
      </c>
      <c r="M67" s="17">
        <f>'Adjust'!C227*'Input'!$C195*10</f>
        <v>0</v>
      </c>
      <c r="N67" s="17">
        <f>'Adjust'!D227*'Input'!$D195*10</f>
        <v>0</v>
      </c>
      <c r="O67" s="29">
        <f>IF(E67&lt;&gt;0,$L67/E67,"")</f>
        <v>0</v>
      </c>
      <c r="P67" s="29">
        <f>IF(E67&lt;&gt;0,$M67/E67,"")</f>
        <v>0</v>
      </c>
      <c r="Q67" s="29">
        <f>IF(E67&lt;&gt;0,$N67/E67,"")</f>
        <v>0</v>
      </c>
      <c r="R67" s="29">
        <f>IF(D67&lt;&gt;0,$F67/D67,"")</f>
        <v>0</v>
      </c>
      <c r="S67" s="29">
        <f>IF(D67&lt;&gt;0,$G67/D67,"")</f>
        <v>0</v>
      </c>
      <c r="T67" s="29">
        <f>IF(D67&lt;&gt;0,$H67/D67,"")</f>
        <v>0</v>
      </c>
      <c r="U67" s="10"/>
    </row>
    <row r="68" spans="1:21">
      <c r="A68" s="11" t="s">
        <v>237</v>
      </c>
      <c r="B68" s="17">
        <f>'Input'!B196+'Input'!C196+'Input'!D196</f>
        <v>0</v>
      </c>
      <c r="C68" s="33">
        <f>'Input'!E196</f>
        <v>0</v>
      </c>
      <c r="D68" s="17">
        <f>0.01*'Input'!F$58*('Adjust'!$E228*'Input'!E196+'Adjust'!$F228*'Input'!F196)+10*('Adjust'!$B228*'Input'!B196+'Adjust'!$C228*'Input'!C196+'Adjust'!$D228*'Input'!D196+'Adjust'!$G228*'Input'!G196)</f>
        <v>0</v>
      </c>
      <c r="E68" s="17">
        <f>10*('Adjust'!$B228*'Input'!B196+'Adjust'!$C228*'Input'!C196+'Adjust'!$D228*'Input'!D196)</f>
        <v>0</v>
      </c>
      <c r="F68" s="17">
        <f>'Adjust'!E228*'Input'!$F$58*'Input'!$E196/100</f>
        <v>0</v>
      </c>
      <c r="G68" s="17">
        <f>'Adjust'!F228*'Input'!$F$58*'Input'!$F196/100</f>
        <v>0</v>
      </c>
      <c r="H68" s="17">
        <f>'Adjust'!G228*'Input'!$G196*10</f>
        <v>0</v>
      </c>
      <c r="I68" s="6">
        <f>IF(B68&lt;&gt;0,0.1*D68/B68,"")</f>
        <v>0</v>
      </c>
      <c r="J68" s="35">
        <f>IF(C68&lt;&gt;0,D68/C68,"")</f>
        <v>0</v>
      </c>
      <c r="K68" s="6">
        <f>IF(B68&lt;&gt;0,0.1*E68/B68,0)</f>
        <v>0</v>
      </c>
      <c r="L68" s="17">
        <f>'Adjust'!B228*'Input'!$B196*10</f>
        <v>0</v>
      </c>
      <c r="M68" s="17">
        <f>'Adjust'!C228*'Input'!$C196*10</f>
        <v>0</v>
      </c>
      <c r="N68" s="17">
        <f>'Adjust'!D228*'Input'!$D196*10</f>
        <v>0</v>
      </c>
      <c r="O68" s="29">
        <f>IF(E68&lt;&gt;0,$L68/E68,"")</f>
        <v>0</v>
      </c>
      <c r="P68" s="29">
        <f>IF(E68&lt;&gt;0,$M68/E68,"")</f>
        <v>0</v>
      </c>
      <c r="Q68" s="29">
        <f>IF(E68&lt;&gt;0,$N68/E68,"")</f>
        <v>0</v>
      </c>
      <c r="R68" s="29">
        <f>IF(D68&lt;&gt;0,$F68/D68,"")</f>
        <v>0</v>
      </c>
      <c r="S68" s="29">
        <f>IF(D68&lt;&gt;0,$G68/D68,"")</f>
        <v>0</v>
      </c>
      <c r="T68" s="29">
        <f>IF(D68&lt;&gt;0,$H68/D68,"")</f>
        <v>0</v>
      </c>
      <c r="U68" s="10"/>
    </row>
    <row r="69" spans="1:21">
      <c r="A69" s="11" t="s">
        <v>238</v>
      </c>
      <c r="B69" s="17">
        <f>'Input'!B197+'Input'!C197+'Input'!D197</f>
        <v>0</v>
      </c>
      <c r="C69" s="33">
        <f>'Input'!E197</f>
        <v>0</v>
      </c>
      <c r="D69" s="17">
        <f>0.01*'Input'!F$58*('Adjust'!$E229*'Input'!E197+'Adjust'!$F229*'Input'!F197)+10*('Adjust'!$B229*'Input'!B197+'Adjust'!$C229*'Input'!C197+'Adjust'!$D229*'Input'!D197+'Adjust'!$G229*'Input'!G197)</f>
        <v>0</v>
      </c>
      <c r="E69" s="17">
        <f>10*('Adjust'!$B229*'Input'!B197+'Adjust'!$C229*'Input'!C197+'Adjust'!$D229*'Input'!D197)</f>
        <v>0</v>
      </c>
      <c r="F69" s="17">
        <f>'Adjust'!E229*'Input'!$F$58*'Input'!$E197/100</f>
        <v>0</v>
      </c>
      <c r="G69" s="17">
        <f>'Adjust'!F229*'Input'!$F$58*'Input'!$F197/100</f>
        <v>0</v>
      </c>
      <c r="H69" s="17">
        <f>'Adjust'!G229*'Input'!$G197*10</f>
        <v>0</v>
      </c>
      <c r="I69" s="6">
        <f>IF(B69&lt;&gt;0,0.1*D69/B69,"")</f>
        <v>0</v>
      </c>
      <c r="J69" s="35">
        <f>IF(C69&lt;&gt;0,D69/C69,"")</f>
        <v>0</v>
      </c>
      <c r="K69" s="6">
        <f>IF(B69&lt;&gt;0,0.1*E69/B69,0)</f>
        <v>0</v>
      </c>
      <c r="L69" s="17">
        <f>'Adjust'!B229*'Input'!$B197*10</f>
        <v>0</v>
      </c>
      <c r="M69" s="17">
        <f>'Adjust'!C229*'Input'!$C197*10</f>
        <v>0</v>
      </c>
      <c r="N69" s="17">
        <f>'Adjust'!D229*'Input'!$D197*10</f>
        <v>0</v>
      </c>
      <c r="O69" s="29">
        <f>IF(E69&lt;&gt;0,$L69/E69,"")</f>
        <v>0</v>
      </c>
      <c r="P69" s="29">
        <f>IF(E69&lt;&gt;0,$M69/E69,"")</f>
        <v>0</v>
      </c>
      <c r="Q69" s="29">
        <f>IF(E69&lt;&gt;0,$N69/E69,"")</f>
        <v>0</v>
      </c>
      <c r="R69" s="29">
        <f>IF(D69&lt;&gt;0,$F69/D69,"")</f>
        <v>0</v>
      </c>
      <c r="S69" s="29">
        <f>IF(D69&lt;&gt;0,$G69/D69,"")</f>
        <v>0</v>
      </c>
      <c r="T69" s="29">
        <f>IF(D69&lt;&gt;0,$H69/D69,"")</f>
        <v>0</v>
      </c>
      <c r="U69" s="10"/>
    </row>
    <row r="70" spans="1:21">
      <c r="A70" s="22" t="s">
        <v>239</v>
      </c>
      <c r="U70" s="10"/>
    </row>
    <row r="71" spans="1:21">
      <c r="A71" s="11" t="s">
        <v>175</v>
      </c>
      <c r="B71" s="17">
        <f>'Input'!B199+'Input'!C199+'Input'!D199</f>
        <v>0</v>
      </c>
      <c r="C71" s="33">
        <f>'Input'!E199</f>
        <v>0</v>
      </c>
      <c r="D71" s="17">
        <f>0.01*'Input'!F$58*('Adjust'!$E231*'Input'!E199+'Adjust'!$F231*'Input'!F199)+10*('Adjust'!$B231*'Input'!B199+'Adjust'!$C231*'Input'!C199+'Adjust'!$D231*'Input'!D199+'Adjust'!$G231*'Input'!G199)</f>
        <v>0</v>
      </c>
      <c r="E71" s="17">
        <f>10*('Adjust'!$B231*'Input'!B199+'Adjust'!$C231*'Input'!C199+'Adjust'!$D231*'Input'!D199)</f>
        <v>0</v>
      </c>
      <c r="F71" s="17">
        <f>'Adjust'!E231*'Input'!$F$58*'Input'!$E199/100</f>
        <v>0</v>
      </c>
      <c r="G71" s="17">
        <f>'Adjust'!F231*'Input'!$F$58*'Input'!$F199/100</f>
        <v>0</v>
      </c>
      <c r="H71" s="17">
        <f>'Adjust'!G231*'Input'!$G199*10</f>
        <v>0</v>
      </c>
      <c r="I71" s="6">
        <f>IF(B71&lt;&gt;0,0.1*D71/B71,"")</f>
        <v>0</v>
      </c>
      <c r="J71" s="35">
        <f>IF(C71&lt;&gt;0,D71/C71,"")</f>
        <v>0</v>
      </c>
      <c r="K71" s="6">
        <f>IF(B71&lt;&gt;0,0.1*E71/B71,0)</f>
        <v>0</v>
      </c>
      <c r="L71" s="17">
        <f>'Adjust'!B231*'Input'!$B199*10</f>
        <v>0</v>
      </c>
      <c r="M71" s="17">
        <f>'Adjust'!C231*'Input'!$C199*10</f>
        <v>0</v>
      </c>
      <c r="N71" s="17">
        <f>'Adjust'!D231*'Input'!$D199*10</f>
        <v>0</v>
      </c>
      <c r="O71" s="29">
        <f>IF(E71&lt;&gt;0,$L71/E71,"")</f>
        <v>0</v>
      </c>
      <c r="P71" s="29">
        <f>IF(E71&lt;&gt;0,$M71/E71,"")</f>
        <v>0</v>
      </c>
      <c r="Q71" s="29">
        <f>IF(E71&lt;&gt;0,$N71/E71,"")</f>
        <v>0</v>
      </c>
      <c r="R71" s="29">
        <f>IF(D71&lt;&gt;0,$F71/D71,"")</f>
        <v>0</v>
      </c>
      <c r="S71" s="29">
        <f>IF(D71&lt;&gt;0,$G71/D71,"")</f>
        <v>0</v>
      </c>
      <c r="T71" s="29">
        <f>IF(D71&lt;&gt;0,$H71/D71,"")</f>
        <v>0</v>
      </c>
      <c r="U71" s="10"/>
    </row>
    <row r="72" spans="1:21">
      <c r="A72" s="11" t="s">
        <v>240</v>
      </c>
      <c r="B72" s="17">
        <f>'Input'!B200+'Input'!C200+'Input'!D200</f>
        <v>0</v>
      </c>
      <c r="C72" s="33">
        <f>'Input'!E200</f>
        <v>0</v>
      </c>
      <c r="D72" s="17">
        <f>0.01*'Input'!F$58*('Adjust'!$E232*'Input'!E200+'Adjust'!$F232*'Input'!F200)+10*('Adjust'!$B232*'Input'!B200+'Adjust'!$C232*'Input'!C200+'Adjust'!$D232*'Input'!D200+'Adjust'!$G232*'Input'!G200)</f>
        <v>0</v>
      </c>
      <c r="E72" s="17">
        <f>10*('Adjust'!$B232*'Input'!B200+'Adjust'!$C232*'Input'!C200+'Adjust'!$D232*'Input'!D200)</f>
        <v>0</v>
      </c>
      <c r="F72" s="17">
        <f>'Adjust'!E232*'Input'!$F$58*'Input'!$E200/100</f>
        <v>0</v>
      </c>
      <c r="G72" s="17">
        <f>'Adjust'!F232*'Input'!$F$58*'Input'!$F200/100</f>
        <v>0</v>
      </c>
      <c r="H72" s="17">
        <f>'Adjust'!G232*'Input'!$G200*10</f>
        <v>0</v>
      </c>
      <c r="I72" s="6">
        <f>IF(B72&lt;&gt;0,0.1*D72/B72,"")</f>
        <v>0</v>
      </c>
      <c r="J72" s="35">
        <f>IF(C72&lt;&gt;0,D72/C72,"")</f>
        <v>0</v>
      </c>
      <c r="K72" s="6">
        <f>IF(B72&lt;&gt;0,0.1*E72/B72,0)</f>
        <v>0</v>
      </c>
      <c r="L72" s="17">
        <f>'Adjust'!B232*'Input'!$B200*10</f>
        <v>0</v>
      </c>
      <c r="M72" s="17">
        <f>'Adjust'!C232*'Input'!$C200*10</f>
        <v>0</v>
      </c>
      <c r="N72" s="17">
        <f>'Adjust'!D232*'Input'!$D200*10</f>
        <v>0</v>
      </c>
      <c r="O72" s="29">
        <f>IF(E72&lt;&gt;0,$L72/E72,"")</f>
        <v>0</v>
      </c>
      <c r="P72" s="29">
        <f>IF(E72&lt;&gt;0,$M72/E72,"")</f>
        <v>0</v>
      </c>
      <c r="Q72" s="29">
        <f>IF(E72&lt;&gt;0,$N72/E72,"")</f>
        <v>0</v>
      </c>
      <c r="R72" s="29">
        <f>IF(D72&lt;&gt;0,$F72/D72,"")</f>
        <v>0</v>
      </c>
      <c r="S72" s="29">
        <f>IF(D72&lt;&gt;0,$G72/D72,"")</f>
        <v>0</v>
      </c>
      <c r="T72" s="29">
        <f>IF(D72&lt;&gt;0,$H72/D72,"")</f>
        <v>0</v>
      </c>
      <c r="U72" s="10"/>
    </row>
    <row r="73" spans="1:21">
      <c r="A73" s="11" t="s">
        <v>241</v>
      </c>
      <c r="B73" s="17">
        <f>'Input'!B201+'Input'!C201+'Input'!D201</f>
        <v>0</v>
      </c>
      <c r="C73" s="33">
        <f>'Input'!E201</f>
        <v>0</v>
      </c>
      <c r="D73" s="17">
        <f>0.01*'Input'!F$58*('Adjust'!$E233*'Input'!E201+'Adjust'!$F233*'Input'!F201)+10*('Adjust'!$B233*'Input'!B201+'Adjust'!$C233*'Input'!C201+'Adjust'!$D233*'Input'!D201+'Adjust'!$G233*'Input'!G201)</f>
        <v>0</v>
      </c>
      <c r="E73" s="17">
        <f>10*('Adjust'!$B233*'Input'!B201+'Adjust'!$C233*'Input'!C201+'Adjust'!$D233*'Input'!D201)</f>
        <v>0</v>
      </c>
      <c r="F73" s="17">
        <f>'Adjust'!E233*'Input'!$F$58*'Input'!$E201/100</f>
        <v>0</v>
      </c>
      <c r="G73" s="17">
        <f>'Adjust'!F233*'Input'!$F$58*'Input'!$F201/100</f>
        <v>0</v>
      </c>
      <c r="H73" s="17">
        <f>'Adjust'!G233*'Input'!$G201*10</f>
        <v>0</v>
      </c>
      <c r="I73" s="6">
        <f>IF(B73&lt;&gt;0,0.1*D73/B73,"")</f>
        <v>0</v>
      </c>
      <c r="J73" s="35">
        <f>IF(C73&lt;&gt;0,D73/C73,"")</f>
        <v>0</v>
      </c>
      <c r="K73" s="6">
        <f>IF(B73&lt;&gt;0,0.1*E73/B73,0)</f>
        <v>0</v>
      </c>
      <c r="L73" s="17">
        <f>'Adjust'!B233*'Input'!$B201*10</f>
        <v>0</v>
      </c>
      <c r="M73" s="17">
        <f>'Adjust'!C233*'Input'!$C201*10</f>
        <v>0</v>
      </c>
      <c r="N73" s="17">
        <f>'Adjust'!D233*'Input'!$D201*10</f>
        <v>0</v>
      </c>
      <c r="O73" s="29">
        <f>IF(E73&lt;&gt;0,$L73/E73,"")</f>
        <v>0</v>
      </c>
      <c r="P73" s="29">
        <f>IF(E73&lt;&gt;0,$M73/E73,"")</f>
        <v>0</v>
      </c>
      <c r="Q73" s="29">
        <f>IF(E73&lt;&gt;0,$N73/E73,"")</f>
        <v>0</v>
      </c>
      <c r="R73" s="29">
        <f>IF(D73&lt;&gt;0,$F73/D73,"")</f>
        <v>0</v>
      </c>
      <c r="S73" s="29">
        <f>IF(D73&lt;&gt;0,$G73/D73,"")</f>
        <v>0</v>
      </c>
      <c r="T73" s="29">
        <f>IF(D73&lt;&gt;0,$H73/D73,"")</f>
        <v>0</v>
      </c>
      <c r="U73" s="10"/>
    </row>
    <row r="74" spans="1:21">
      <c r="A74" s="22" t="s">
        <v>242</v>
      </c>
      <c r="U74" s="10"/>
    </row>
    <row r="75" spans="1:21">
      <c r="A75" s="11" t="s">
        <v>211</v>
      </c>
      <c r="B75" s="17">
        <f>'Input'!B203+'Input'!C203+'Input'!D203</f>
        <v>0</v>
      </c>
      <c r="C75" s="33">
        <f>'Input'!E203</f>
        <v>0</v>
      </c>
      <c r="D75" s="17">
        <f>0.01*'Input'!F$58*('Adjust'!$E235*'Input'!E203+'Adjust'!$F235*'Input'!F203)+10*('Adjust'!$B235*'Input'!B203+'Adjust'!$C235*'Input'!C203+'Adjust'!$D235*'Input'!D203+'Adjust'!$G235*'Input'!G203)</f>
        <v>0</v>
      </c>
      <c r="E75" s="17">
        <f>10*('Adjust'!$B235*'Input'!B203+'Adjust'!$C235*'Input'!C203+'Adjust'!$D235*'Input'!D203)</f>
        <v>0</v>
      </c>
      <c r="F75" s="17">
        <f>'Adjust'!E235*'Input'!$F$58*'Input'!$E203/100</f>
        <v>0</v>
      </c>
      <c r="G75" s="17">
        <f>'Adjust'!F235*'Input'!$F$58*'Input'!$F203/100</f>
        <v>0</v>
      </c>
      <c r="H75" s="17">
        <f>'Adjust'!G235*'Input'!$G203*10</f>
        <v>0</v>
      </c>
      <c r="I75" s="6">
        <f>IF(B75&lt;&gt;0,0.1*D75/B75,"")</f>
        <v>0</v>
      </c>
      <c r="J75" s="35">
        <f>IF(C75&lt;&gt;0,D75/C75,"")</f>
        <v>0</v>
      </c>
      <c r="K75" s="6">
        <f>IF(B75&lt;&gt;0,0.1*E75/B75,0)</f>
        <v>0</v>
      </c>
      <c r="L75" s="17">
        <f>'Adjust'!B235*'Input'!$B203*10</f>
        <v>0</v>
      </c>
      <c r="M75" s="17">
        <f>'Adjust'!C235*'Input'!$C203*10</f>
        <v>0</v>
      </c>
      <c r="N75" s="17">
        <f>'Adjust'!D235*'Input'!$D203*10</f>
        <v>0</v>
      </c>
      <c r="O75" s="29">
        <f>IF(E75&lt;&gt;0,$L75/E75,"")</f>
        <v>0</v>
      </c>
      <c r="P75" s="29">
        <f>IF(E75&lt;&gt;0,$M75/E75,"")</f>
        <v>0</v>
      </c>
      <c r="Q75" s="29">
        <f>IF(E75&lt;&gt;0,$N75/E75,"")</f>
        <v>0</v>
      </c>
      <c r="R75" s="29">
        <f>IF(D75&lt;&gt;0,$F75/D75,"")</f>
        <v>0</v>
      </c>
      <c r="S75" s="29">
        <f>IF(D75&lt;&gt;0,$G75/D75,"")</f>
        <v>0</v>
      </c>
      <c r="T75" s="29">
        <f>IF(D75&lt;&gt;0,$H75/D75,"")</f>
        <v>0</v>
      </c>
      <c r="U75" s="10"/>
    </row>
    <row r="76" spans="1:21">
      <c r="A76" s="11" t="s">
        <v>243</v>
      </c>
      <c r="B76" s="17">
        <f>'Input'!B204+'Input'!C204+'Input'!D204</f>
        <v>0</v>
      </c>
      <c r="C76" s="33">
        <f>'Input'!E204</f>
        <v>0</v>
      </c>
      <c r="D76" s="17">
        <f>0.01*'Input'!F$58*('Adjust'!$E236*'Input'!E204+'Adjust'!$F236*'Input'!F204)+10*('Adjust'!$B236*'Input'!B204+'Adjust'!$C236*'Input'!C204+'Adjust'!$D236*'Input'!D204+'Adjust'!$G236*'Input'!G204)</f>
        <v>0</v>
      </c>
      <c r="E76" s="17">
        <f>10*('Adjust'!$B236*'Input'!B204+'Adjust'!$C236*'Input'!C204+'Adjust'!$D236*'Input'!D204)</f>
        <v>0</v>
      </c>
      <c r="F76" s="17">
        <f>'Adjust'!E236*'Input'!$F$58*'Input'!$E204/100</f>
        <v>0</v>
      </c>
      <c r="G76" s="17">
        <f>'Adjust'!F236*'Input'!$F$58*'Input'!$F204/100</f>
        <v>0</v>
      </c>
      <c r="H76" s="17">
        <f>'Adjust'!G236*'Input'!$G204*10</f>
        <v>0</v>
      </c>
      <c r="I76" s="6">
        <f>IF(B76&lt;&gt;0,0.1*D76/B76,"")</f>
        <v>0</v>
      </c>
      <c r="J76" s="35">
        <f>IF(C76&lt;&gt;0,D76/C76,"")</f>
        <v>0</v>
      </c>
      <c r="K76" s="6">
        <f>IF(B76&lt;&gt;0,0.1*E76/B76,0)</f>
        <v>0</v>
      </c>
      <c r="L76" s="17">
        <f>'Adjust'!B236*'Input'!$B204*10</f>
        <v>0</v>
      </c>
      <c r="M76" s="17">
        <f>'Adjust'!C236*'Input'!$C204*10</f>
        <v>0</v>
      </c>
      <c r="N76" s="17">
        <f>'Adjust'!D236*'Input'!$D204*10</f>
        <v>0</v>
      </c>
      <c r="O76" s="29">
        <f>IF(E76&lt;&gt;0,$L76/E76,"")</f>
        <v>0</v>
      </c>
      <c r="P76" s="29">
        <f>IF(E76&lt;&gt;0,$M76/E76,"")</f>
        <v>0</v>
      </c>
      <c r="Q76" s="29">
        <f>IF(E76&lt;&gt;0,$N76/E76,"")</f>
        <v>0</v>
      </c>
      <c r="R76" s="29">
        <f>IF(D76&lt;&gt;0,$F76/D76,"")</f>
        <v>0</v>
      </c>
      <c r="S76" s="29">
        <f>IF(D76&lt;&gt;0,$G76/D76,"")</f>
        <v>0</v>
      </c>
      <c r="T76" s="29">
        <f>IF(D76&lt;&gt;0,$H76/D76,"")</f>
        <v>0</v>
      </c>
      <c r="U76" s="10"/>
    </row>
    <row r="77" spans="1:21">
      <c r="A77" s="11" t="s">
        <v>244</v>
      </c>
      <c r="B77" s="17">
        <f>'Input'!B205+'Input'!C205+'Input'!D205</f>
        <v>0</v>
      </c>
      <c r="C77" s="33">
        <f>'Input'!E205</f>
        <v>0</v>
      </c>
      <c r="D77" s="17">
        <f>0.01*'Input'!F$58*('Adjust'!$E237*'Input'!E205+'Adjust'!$F237*'Input'!F205)+10*('Adjust'!$B237*'Input'!B205+'Adjust'!$C237*'Input'!C205+'Adjust'!$D237*'Input'!D205+'Adjust'!$G237*'Input'!G205)</f>
        <v>0</v>
      </c>
      <c r="E77" s="17">
        <f>10*('Adjust'!$B237*'Input'!B205+'Adjust'!$C237*'Input'!C205+'Adjust'!$D237*'Input'!D205)</f>
        <v>0</v>
      </c>
      <c r="F77" s="17">
        <f>'Adjust'!E237*'Input'!$F$58*'Input'!$E205/100</f>
        <v>0</v>
      </c>
      <c r="G77" s="17">
        <f>'Adjust'!F237*'Input'!$F$58*'Input'!$F205/100</f>
        <v>0</v>
      </c>
      <c r="H77" s="17">
        <f>'Adjust'!G237*'Input'!$G205*10</f>
        <v>0</v>
      </c>
      <c r="I77" s="6">
        <f>IF(B77&lt;&gt;0,0.1*D77/B77,"")</f>
        <v>0</v>
      </c>
      <c r="J77" s="35">
        <f>IF(C77&lt;&gt;0,D77/C77,"")</f>
        <v>0</v>
      </c>
      <c r="K77" s="6">
        <f>IF(B77&lt;&gt;0,0.1*E77/B77,0)</f>
        <v>0</v>
      </c>
      <c r="L77" s="17">
        <f>'Adjust'!B237*'Input'!$B205*10</f>
        <v>0</v>
      </c>
      <c r="M77" s="17">
        <f>'Adjust'!C237*'Input'!$C205*10</f>
        <v>0</v>
      </c>
      <c r="N77" s="17">
        <f>'Adjust'!D237*'Input'!$D205*10</f>
        <v>0</v>
      </c>
      <c r="O77" s="29">
        <f>IF(E77&lt;&gt;0,$L77/E77,"")</f>
        <v>0</v>
      </c>
      <c r="P77" s="29">
        <f>IF(E77&lt;&gt;0,$M77/E77,"")</f>
        <v>0</v>
      </c>
      <c r="Q77" s="29">
        <f>IF(E77&lt;&gt;0,$N77/E77,"")</f>
        <v>0</v>
      </c>
      <c r="R77" s="29">
        <f>IF(D77&lt;&gt;0,$F77/D77,"")</f>
        <v>0</v>
      </c>
      <c r="S77" s="29">
        <f>IF(D77&lt;&gt;0,$G77/D77,"")</f>
        <v>0</v>
      </c>
      <c r="T77" s="29">
        <f>IF(D77&lt;&gt;0,$H77/D77,"")</f>
        <v>0</v>
      </c>
      <c r="U77" s="10"/>
    </row>
    <row r="78" spans="1:21">
      <c r="A78" s="22" t="s">
        <v>245</v>
      </c>
      <c r="U78" s="10"/>
    </row>
    <row r="79" spans="1:21">
      <c r="A79" s="11" t="s">
        <v>176</v>
      </c>
      <c r="B79" s="17">
        <f>'Input'!B207+'Input'!C207+'Input'!D207</f>
        <v>0</v>
      </c>
      <c r="C79" s="33">
        <f>'Input'!E207</f>
        <v>0</v>
      </c>
      <c r="D79" s="17">
        <f>0.01*'Input'!F$58*('Adjust'!$E239*'Input'!E207+'Adjust'!$F239*'Input'!F207)+10*('Adjust'!$B239*'Input'!B207+'Adjust'!$C239*'Input'!C207+'Adjust'!$D239*'Input'!D207+'Adjust'!$G239*'Input'!G207)</f>
        <v>0</v>
      </c>
      <c r="E79" s="17">
        <f>10*('Adjust'!$B239*'Input'!B207+'Adjust'!$C239*'Input'!C207+'Adjust'!$D239*'Input'!D207)</f>
        <v>0</v>
      </c>
      <c r="F79" s="17">
        <f>'Adjust'!E239*'Input'!$F$58*'Input'!$E207/100</f>
        <v>0</v>
      </c>
      <c r="G79" s="17">
        <f>'Adjust'!F239*'Input'!$F$58*'Input'!$F207/100</f>
        <v>0</v>
      </c>
      <c r="H79" s="17">
        <f>'Adjust'!G239*'Input'!$G207*10</f>
        <v>0</v>
      </c>
      <c r="I79" s="6">
        <f>IF(B79&lt;&gt;0,0.1*D79/B79,"")</f>
        <v>0</v>
      </c>
      <c r="J79" s="35">
        <f>IF(C79&lt;&gt;0,D79/C79,"")</f>
        <v>0</v>
      </c>
      <c r="K79" s="6">
        <f>IF(B79&lt;&gt;0,0.1*E79/B79,0)</f>
        <v>0</v>
      </c>
      <c r="L79" s="17">
        <f>'Adjust'!B239*'Input'!$B207*10</f>
        <v>0</v>
      </c>
      <c r="M79" s="17">
        <f>'Adjust'!C239*'Input'!$C207*10</f>
        <v>0</v>
      </c>
      <c r="N79" s="17">
        <f>'Adjust'!D239*'Input'!$D207*10</f>
        <v>0</v>
      </c>
      <c r="O79" s="29">
        <f>IF(E79&lt;&gt;0,$L79/E79,"")</f>
        <v>0</v>
      </c>
      <c r="P79" s="29">
        <f>IF(E79&lt;&gt;0,$M79/E79,"")</f>
        <v>0</v>
      </c>
      <c r="Q79" s="29">
        <f>IF(E79&lt;&gt;0,$N79/E79,"")</f>
        <v>0</v>
      </c>
      <c r="R79" s="29">
        <f>IF(D79&lt;&gt;0,$F79/D79,"")</f>
        <v>0</v>
      </c>
      <c r="S79" s="29">
        <f>IF(D79&lt;&gt;0,$G79/D79,"")</f>
        <v>0</v>
      </c>
      <c r="T79" s="29">
        <f>IF(D79&lt;&gt;0,$H79/D79,"")</f>
        <v>0</v>
      </c>
      <c r="U79" s="10"/>
    </row>
    <row r="80" spans="1:21">
      <c r="A80" s="11" t="s">
        <v>246</v>
      </c>
      <c r="B80" s="17">
        <f>'Input'!B208+'Input'!C208+'Input'!D208</f>
        <v>0</v>
      </c>
      <c r="C80" s="33">
        <f>'Input'!E208</f>
        <v>0</v>
      </c>
      <c r="D80" s="17">
        <f>0.01*'Input'!F$58*('Adjust'!$E240*'Input'!E208+'Adjust'!$F240*'Input'!F208)+10*('Adjust'!$B240*'Input'!B208+'Adjust'!$C240*'Input'!C208+'Adjust'!$D240*'Input'!D208+'Adjust'!$G240*'Input'!G208)</f>
        <v>0</v>
      </c>
      <c r="E80" s="17">
        <f>10*('Adjust'!$B240*'Input'!B208+'Adjust'!$C240*'Input'!C208+'Adjust'!$D240*'Input'!D208)</f>
        <v>0</v>
      </c>
      <c r="F80" s="17">
        <f>'Adjust'!E240*'Input'!$F$58*'Input'!$E208/100</f>
        <v>0</v>
      </c>
      <c r="G80" s="17">
        <f>'Adjust'!F240*'Input'!$F$58*'Input'!$F208/100</f>
        <v>0</v>
      </c>
      <c r="H80" s="17">
        <f>'Adjust'!G240*'Input'!$G208*10</f>
        <v>0</v>
      </c>
      <c r="I80" s="6">
        <f>IF(B80&lt;&gt;0,0.1*D80/B80,"")</f>
        <v>0</v>
      </c>
      <c r="J80" s="35">
        <f>IF(C80&lt;&gt;0,D80/C80,"")</f>
        <v>0</v>
      </c>
      <c r="K80" s="6">
        <f>IF(B80&lt;&gt;0,0.1*E80/B80,0)</f>
        <v>0</v>
      </c>
      <c r="L80" s="17">
        <f>'Adjust'!B240*'Input'!$B208*10</f>
        <v>0</v>
      </c>
      <c r="M80" s="17">
        <f>'Adjust'!C240*'Input'!$C208*10</f>
        <v>0</v>
      </c>
      <c r="N80" s="17">
        <f>'Adjust'!D240*'Input'!$D208*10</f>
        <v>0</v>
      </c>
      <c r="O80" s="29">
        <f>IF(E80&lt;&gt;0,$L80/E80,"")</f>
        <v>0</v>
      </c>
      <c r="P80" s="29">
        <f>IF(E80&lt;&gt;0,$M80/E80,"")</f>
        <v>0</v>
      </c>
      <c r="Q80" s="29">
        <f>IF(E80&lt;&gt;0,$N80/E80,"")</f>
        <v>0</v>
      </c>
      <c r="R80" s="29">
        <f>IF(D80&lt;&gt;0,$F80/D80,"")</f>
        <v>0</v>
      </c>
      <c r="S80" s="29">
        <f>IF(D80&lt;&gt;0,$G80/D80,"")</f>
        <v>0</v>
      </c>
      <c r="T80" s="29">
        <f>IF(D80&lt;&gt;0,$H80/D80,"")</f>
        <v>0</v>
      </c>
      <c r="U80" s="10"/>
    </row>
    <row r="81" spans="1:21">
      <c r="A81" s="11" t="s">
        <v>247</v>
      </c>
      <c r="B81" s="17">
        <f>'Input'!B209+'Input'!C209+'Input'!D209</f>
        <v>0</v>
      </c>
      <c r="C81" s="33">
        <f>'Input'!E209</f>
        <v>0</v>
      </c>
      <c r="D81" s="17">
        <f>0.01*'Input'!F$58*('Adjust'!$E241*'Input'!E209+'Adjust'!$F241*'Input'!F209)+10*('Adjust'!$B241*'Input'!B209+'Adjust'!$C241*'Input'!C209+'Adjust'!$D241*'Input'!D209+'Adjust'!$G241*'Input'!G209)</f>
        <v>0</v>
      </c>
      <c r="E81" s="17">
        <f>10*('Adjust'!$B241*'Input'!B209+'Adjust'!$C241*'Input'!C209+'Adjust'!$D241*'Input'!D209)</f>
        <v>0</v>
      </c>
      <c r="F81" s="17">
        <f>'Adjust'!E241*'Input'!$F$58*'Input'!$E209/100</f>
        <v>0</v>
      </c>
      <c r="G81" s="17">
        <f>'Adjust'!F241*'Input'!$F$58*'Input'!$F209/100</f>
        <v>0</v>
      </c>
      <c r="H81" s="17">
        <f>'Adjust'!G241*'Input'!$G209*10</f>
        <v>0</v>
      </c>
      <c r="I81" s="6">
        <f>IF(B81&lt;&gt;0,0.1*D81/B81,"")</f>
        <v>0</v>
      </c>
      <c r="J81" s="35">
        <f>IF(C81&lt;&gt;0,D81/C81,"")</f>
        <v>0</v>
      </c>
      <c r="K81" s="6">
        <f>IF(B81&lt;&gt;0,0.1*E81/B81,0)</f>
        <v>0</v>
      </c>
      <c r="L81" s="17">
        <f>'Adjust'!B241*'Input'!$B209*10</f>
        <v>0</v>
      </c>
      <c r="M81" s="17">
        <f>'Adjust'!C241*'Input'!$C209*10</f>
        <v>0</v>
      </c>
      <c r="N81" s="17">
        <f>'Adjust'!D241*'Input'!$D209*10</f>
        <v>0</v>
      </c>
      <c r="O81" s="29">
        <f>IF(E81&lt;&gt;0,$L81/E81,"")</f>
        <v>0</v>
      </c>
      <c r="P81" s="29">
        <f>IF(E81&lt;&gt;0,$M81/E81,"")</f>
        <v>0</v>
      </c>
      <c r="Q81" s="29">
        <f>IF(E81&lt;&gt;0,$N81/E81,"")</f>
        <v>0</v>
      </c>
      <c r="R81" s="29">
        <f>IF(D81&lt;&gt;0,$F81/D81,"")</f>
        <v>0</v>
      </c>
      <c r="S81" s="29">
        <f>IF(D81&lt;&gt;0,$G81/D81,"")</f>
        <v>0</v>
      </c>
      <c r="T81" s="29">
        <f>IF(D81&lt;&gt;0,$H81/D81,"")</f>
        <v>0</v>
      </c>
      <c r="U81" s="10"/>
    </row>
    <row r="82" spans="1:21">
      <c r="A82" s="22" t="s">
        <v>248</v>
      </c>
      <c r="U82" s="10"/>
    </row>
    <row r="83" spans="1:21">
      <c r="A83" s="11" t="s">
        <v>177</v>
      </c>
      <c r="B83" s="17">
        <f>'Input'!B211+'Input'!C211+'Input'!D211</f>
        <v>0</v>
      </c>
      <c r="C83" s="33">
        <f>'Input'!E211</f>
        <v>0</v>
      </c>
      <c r="D83" s="17">
        <f>0.01*'Input'!F$58*('Adjust'!$E243*'Input'!E211+'Adjust'!$F243*'Input'!F211)+10*('Adjust'!$B243*'Input'!B211+'Adjust'!$C243*'Input'!C211+'Adjust'!$D243*'Input'!D211+'Adjust'!$G243*'Input'!G211)</f>
        <v>0</v>
      </c>
      <c r="E83" s="17">
        <f>10*('Adjust'!$B243*'Input'!B211+'Adjust'!$C243*'Input'!C211+'Adjust'!$D243*'Input'!D211)</f>
        <v>0</v>
      </c>
      <c r="F83" s="17">
        <f>'Adjust'!E243*'Input'!$F$58*'Input'!$E211/100</f>
        <v>0</v>
      </c>
      <c r="G83" s="17">
        <f>'Adjust'!F243*'Input'!$F$58*'Input'!$F211/100</f>
        <v>0</v>
      </c>
      <c r="H83" s="17">
        <f>'Adjust'!G243*'Input'!$G211*10</f>
        <v>0</v>
      </c>
      <c r="I83" s="6">
        <f>IF(B83&lt;&gt;0,0.1*D83/B83,"")</f>
        <v>0</v>
      </c>
      <c r="J83" s="35">
        <f>IF(C83&lt;&gt;0,D83/C83,"")</f>
        <v>0</v>
      </c>
      <c r="K83" s="6">
        <f>IF(B83&lt;&gt;0,0.1*E83/B83,0)</f>
        <v>0</v>
      </c>
      <c r="L83" s="17">
        <f>'Adjust'!B243*'Input'!$B211*10</f>
        <v>0</v>
      </c>
      <c r="M83" s="17">
        <f>'Adjust'!C243*'Input'!$C211*10</f>
        <v>0</v>
      </c>
      <c r="N83" s="17">
        <f>'Adjust'!D243*'Input'!$D211*10</f>
        <v>0</v>
      </c>
      <c r="O83" s="29">
        <f>IF(E83&lt;&gt;0,$L83/E83,"")</f>
        <v>0</v>
      </c>
      <c r="P83" s="29">
        <f>IF(E83&lt;&gt;0,$M83/E83,"")</f>
        <v>0</v>
      </c>
      <c r="Q83" s="29">
        <f>IF(E83&lt;&gt;0,$N83/E83,"")</f>
        <v>0</v>
      </c>
      <c r="R83" s="29">
        <f>IF(D83&lt;&gt;0,$F83/D83,"")</f>
        <v>0</v>
      </c>
      <c r="S83" s="29">
        <f>IF(D83&lt;&gt;0,$G83/D83,"")</f>
        <v>0</v>
      </c>
      <c r="T83" s="29">
        <f>IF(D83&lt;&gt;0,$H83/D83,"")</f>
        <v>0</v>
      </c>
      <c r="U83" s="10"/>
    </row>
    <row r="84" spans="1:21">
      <c r="A84" s="22" t="s">
        <v>249</v>
      </c>
      <c r="U84" s="10"/>
    </row>
    <row r="85" spans="1:21">
      <c r="A85" s="11" t="s">
        <v>191</v>
      </c>
      <c r="B85" s="17">
        <f>'Input'!B213+'Input'!C213+'Input'!D213</f>
        <v>0</v>
      </c>
      <c r="C85" s="33">
        <f>'Input'!E213</f>
        <v>0</v>
      </c>
      <c r="D85" s="17">
        <f>0.01*'Input'!F$58*('Adjust'!$E245*'Input'!E213+'Adjust'!$F245*'Input'!F213)+10*('Adjust'!$B245*'Input'!B213+'Adjust'!$C245*'Input'!C213+'Adjust'!$D245*'Input'!D213+'Adjust'!$G245*'Input'!G213)</f>
        <v>0</v>
      </c>
      <c r="E85" s="17">
        <f>10*('Adjust'!$B245*'Input'!B213+'Adjust'!$C245*'Input'!C213+'Adjust'!$D245*'Input'!D213)</f>
        <v>0</v>
      </c>
      <c r="F85" s="17">
        <f>'Adjust'!E245*'Input'!$F$58*'Input'!$E213/100</f>
        <v>0</v>
      </c>
      <c r="G85" s="17">
        <f>'Adjust'!F245*'Input'!$F$58*'Input'!$F213/100</f>
        <v>0</v>
      </c>
      <c r="H85" s="17">
        <f>'Adjust'!G245*'Input'!$G213*10</f>
        <v>0</v>
      </c>
      <c r="I85" s="6">
        <f>IF(B85&lt;&gt;0,0.1*D85/B85,"")</f>
        <v>0</v>
      </c>
      <c r="J85" s="35">
        <f>IF(C85&lt;&gt;0,D85/C85,"")</f>
        <v>0</v>
      </c>
      <c r="K85" s="6">
        <f>IF(B85&lt;&gt;0,0.1*E85/B85,0)</f>
        <v>0</v>
      </c>
      <c r="L85" s="17">
        <f>'Adjust'!B245*'Input'!$B213*10</f>
        <v>0</v>
      </c>
      <c r="M85" s="17">
        <f>'Adjust'!C245*'Input'!$C213*10</f>
        <v>0</v>
      </c>
      <c r="N85" s="17">
        <f>'Adjust'!D245*'Input'!$D213*10</f>
        <v>0</v>
      </c>
      <c r="O85" s="29">
        <f>IF(E85&lt;&gt;0,$L85/E85,"")</f>
        <v>0</v>
      </c>
      <c r="P85" s="29">
        <f>IF(E85&lt;&gt;0,$M85/E85,"")</f>
        <v>0</v>
      </c>
      <c r="Q85" s="29">
        <f>IF(E85&lt;&gt;0,$N85/E85,"")</f>
        <v>0</v>
      </c>
      <c r="R85" s="29">
        <f>IF(D85&lt;&gt;0,$F85/D85,"")</f>
        <v>0</v>
      </c>
      <c r="S85" s="29">
        <f>IF(D85&lt;&gt;0,$G85/D85,"")</f>
        <v>0</v>
      </c>
      <c r="T85" s="29">
        <f>IF(D85&lt;&gt;0,$H85/D85,"")</f>
        <v>0</v>
      </c>
      <c r="U85" s="10"/>
    </row>
    <row r="86" spans="1:21">
      <c r="A86" s="22" t="s">
        <v>250</v>
      </c>
      <c r="U86" s="10"/>
    </row>
    <row r="87" spans="1:21">
      <c r="A87" s="11" t="s">
        <v>178</v>
      </c>
      <c r="B87" s="17">
        <f>'Input'!B215+'Input'!C215+'Input'!D215</f>
        <v>0</v>
      </c>
      <c r="C87" s="33">
        <f>'Input'!E215</f>
        <v>0</v>
      </c>
      <c r="D87" s="17">
        <f>0.01*'Input'!F$58*('Adjust'!$E247*'Input'!E215+'Adjust'!$F247*'Input'!F215)+10*('Adjust'!$B247*'Input'!B215+'Adjust'!$C247*'Input'!C215+'Adjust'!$D247*'Input'!D215+'Adjust'!$G247*'Input'!G215)</f>
        <v>0</v>
      </c>
      <c r="E87" s="17">
        <f>10*('Adjust'!$B247*'Input'!B215+'Adjust'!$C247*'Input'!C215+'Adjust'!$D247*'Input'!D215)</f>
        <v>0</v>
      </c>
      <c r="F87" s="17">
        <f>'Adjust'!E247*'Input'!$F$58*'Input'!$E215/100</f>
        <v>0</v>
      </c>
      <c r="G87" s="17">
        <f>'Adjust'!F247*'Input'!$F$58*'Input'!$F215/100</f>
        <v>0</v>
      </c>
      <c r="H87" s="17">
        <f>'Adjust'!G247*'Input'!$G215*10</f>
        <v>0</v>
      </c>
      <c r="I87" s="6">
        <f>IF(B87&lt;&gt;0,0.1*D87/B87,"")</f>
        <v>0</v>
      </c>
      <c r="J87" s="35">
        <f>IF(C87&lt;&gt;0,D87/C87,"")</f>
        <v>0</v>
      </c>
      <c r="K87" s="6">
        <f>IF(B87&lt;&gt;0,0.1*E87/B87,0)</f>
        <v>0</v>
      </c>
      <c r="L87" s="17">
        <f>'Adjust'!B247*'Input'!$B215*10</f>
        <v>0</v>
      </c>
      <c r="M87" s="17">
        <f>'Adjust'!C247*'Input'!$C215*10</f>
        <v>0</v>
      </c>
      <c r="N87" s="17">
        <f>'Adjust'!D247*'Input'!$D215*10</f>
        <v>0</v>
      </c>
      <c r="O87" s="29">
        <f>IF(E87&lt;&gt;0,$L87/E87,"")</f>
        <v>0</v>
      </c>
      <c r="P87" s="29">
        <f>IF(E87&lt;&gt;0,$M87/E87,"")</f>
        <v>0</v>
      </c>
      <c r="Q87" s="29">
        <f>IF(E87&lt;&gt;0,$N87/E87,"")</f>
        <v>0</v>
      </c>
      <c r="R87" s="29">
        <f>IF(D87&lt;&gt;0,$F87/D87,"")</f>
        <v>0</v>
      </c>
      <c r="S87" s="29">
        <f>IF(D87&lt;&gt;0,$G87/D87,"")</f>
        <v>0</v>
      </c>
      <c r="T87" s="29">
        <f>IF(D87&lt;&gt;0,$H87/D87,"")</f>
        <v>0</v>
      </c>
      <c r="U87" s="10"/>
    </row>
    <row r="88" spans="1:21">
      <c r="A88" s="11" t="s">
        <v>251</v>
      </c>
      <c r="B88" s="17">
        <f>'Input'!B216+'Input'!C216+'Input'!D216</f>
        <v>0</v>
      </c>
      <c r="C88" s="33">
        <f>'Input'!E216</f>
        <v>0</v>
      </c>
      <c r="D88" s="17">
        <f>0.01*'Input'!F$58*('Adjust'!$E248*'Input'!E216+'Adjust'!$F248*'Input'!F216)+10*('Adjust'!$B248*'Input'!B216+'Adjust'!$C248*'Input'!C216+'Adjust'!$D248*'Input'!D216+'Adjust'!$G248*'Input'!G216)</f>
        <v>0</v>
      </c>
      <c r="E88" s="17">
        <f>10*('Adjust'!$B248*'Input'!B216+'Adjust'!$C248*'Input'!C216+'Adjust'!$D248*'Input'!D216)</f>
        <v>0</v>
      </c>
      <c r="F88" s="17">
        <f>'Adjust'!E248*'Input'!$F$58*'Input'!$E216/100</f>
        <v>0</v>
      </c>
      <c r="G88" s="17">
        <f>'Adjust'!F248*'Input'!$F$58*'Input'!$F216/100</f>
        <v>0</v>
      </c>
      <c r="H88" s="17">
        <f>'Adjust'!G248*'Input'!$G216*10</f>
        <v>0</v>
      </c>
      <c r="I88" s="6">
        <f>IF(B88&lt;&gt;0,0.1*D88/B88,"")</f>
        <v>0</v>
      </c>
      <c r="J88" s="35">
        <f>IF(C88&lt;&gt;0,D88/C88,"")</f>
        <v>0</v>
      </c>
      <c r="K88" s="6">
        <f>IF(B88&lt;&gt;0,0.1*E88/B88,0)</f>
        <v>0</v>
      </c>
      <c r="L88" s="17">
        <f>'Adjust'!B248*'Input'!$B216*10</f>
        <v>0</v>
      </c>
      <c r="M88" s="17">
        <f>'Adjust'!C248*'Input'!$C216*10</f>
        <v>0</v>
      </c>
      <c r="N88" s="17">
        <f>'Adjust'!D248*'Input'!$D216*10</f>
        <v>0</v>
      </c>
      <c r="O88" s="29">
        <f>IF(E88&lt;&gt;0,$L88/E88,"")</f>
        <v>0</v>
      </c>
      <c r="P88" s="29">
        <f>IF(E88&lt;&gt;0,$M88/E88,"")</f>
        <v>0</v>
      </c>
      <c r="Q88" s="29">
        <f>IF(E88&lt;&gt;0,$N88/E88,"")</f>
        <v>0</v>
      </c>
      <c r="R88" s="29">
        <f>IF(D88&lt;&gt;0,$F88/D88,"")</f>
        <v>0</v>
      </c>
      <c r="S88" s="29">
        <f>IF(D88&lt;&gt;0,$G88/D88,"")</f>
        <v>0</v>
      </c>
      <c r="T88" s="29">
        <f>IF(D88&lt;&gt;0,$H88/D88,"")</f>
        <v>0</v>
      </c>
      <c r="U88" s="10"/>
    </row>
    <row r="89" spans="1:21">
      <c r="A89" s="11" t="s">
        <v>252</v>
      </c>
      <c r="B89" s="17">
        <f>'Input'!B217+'Input'!C217+'Input'!D217</f>
        <v>0</v>
      </c>
      <c r="C89" s="33">
        <f>'Input'!E217</f>
        <v>0</v>
      </c>
      <c r="D89" s="17">
        <f>0.01*'Input'!F$58*('Adjust'!$E249*'Input'!E217+'Adjust'!$F249*'Input'!F217)+10*('Adjust'!$B249*'Input'!B217+'Adjust'!$C249*'Input'!C217+'Adjust'!$D249*'Input'!D217+'Adjust'!$G249*'Input'!G217)</f>
        <v>0</v>
      </c>
      <c r="E89" s="17">
        <f>10*('Adjust'!$B249*'Input'!B217+'Adjust'!$C249*'Input'!C217+'Adjust'!$D249*'Input'!D217)</f>
        <v>0</v>
      </c>
      <c r="F89" s="17">
        <f>'Adjust'!E249*'Input'!$F$58*'Input'!$E217/100</f>
        <v>0</v>
      </c>
      <c r="G89" s="17">
        <f>'Adjust'!F249*'Input'!$F$58*'Input'!$F217/100</f>
        <v>0</v>
      </c>
      <c r="H89" s="17">
        <f>'Adjust'!G249*'Input'!$G217*10</f>
        <v>0</v>
      </c>
      <c r="I89" s="6">
        <f>IF(B89&lt;&gt;0,0.1*D89/B89,"")</f>
        <v>0</v>
      </c>
      <c r="J89" s="35">
        <f>IF(C89&lt;&gt;0,D89/C89,"")</f>
        <v>0</v>
      </c>
      <c r="K89" s="6">
        <f>IF(B89&lt;&gt;0,0.1*E89/B89,0)</f>
        <v>0</v>
      </c>
      <c r="L89" s="17">
        <f>'Adjust'!B249*'Input'!$B217*10</f>
        <v>0</v>
      </c>
      <c r="M89" s="17">
        <f>'Adjust'!C249*'Input'!$C217*10</f>
        <v>0</v>
      </c>
      <c r="N89" s="17">
        <f>'Adjust'!D249*'Input'!$D217*10</f>
        <v>0</v>
      </c>
      <c r="O89" s="29">
        <f>IF(E89&lt;&gt;0,$L89/E89,"")</f>
        <v>0</v>
      </c>
      <c r="P89" s="29">
        <f>IF(E89&lt;&gt;0,$M89/E89,"")</f>
        <v>0</v>
      </c>
      <c r="Q89" s="29">
        <f>IF(E89&lt;&gt;0,$N89/E89,"")</f>
        <v>0</v>
      </c>
      <c r="R89" s="29">
        <f>IF(D89&lt;&gt;0,$F89/D89,"")</f>
        <v>0</v>
      </c>
      <c r="S89" s="29">
        <f>IF(D89&lt;&gt;0,$G89/D89,"")</f>
        <v>0</v>
      </c>
      <c r="T89" s="29">
        <f>IF(D89&lt;&gt;0,$H89/D89,"")</f>
        <v>0</v>
      </c>
      <c r="U89" s="10"/>
    </row>
    <row r="90" spans="1:21">
      <c r="A90" s="22" t="s">
        <v>253</v>
      </c>
      <c r="U90" s="10"/>
    </row>
    <row r="91" spans="1:21">
      <c r="A91" s="11" t="s">
        <v>179</v>
      </c>
      <c r="B91" s="17">
        <f>'Input'!B219+'Input'!C219+'Input'!D219</f>
        <v>0</v>
      </c>
      <c r="C91" s="33">
        <f>'Input'!E219</f>
        <v>0</v>
      </c>
      <c r="D91" s="17">
        <f>0.01*'Input'!F$58*('Adjust'!$E251*'Input'!E219+'Adjust'!$F251*'Input'!F219)+10*('Adjust'!$B251*'Input'!B219+'Adjust'!$C251*'Input'!C219+'Adjust'!$D251*'Input'!D219+'Adjust'!$G251*'Input'!G219)</f>
        <v>0</v>
      </c>
      <c r="E91" s="17">
        <f>10*('Adjust'!$B251*'Input'!B219+'Adjust'!$C251*'Input'!C219+'Adjust'!$D251*'Input'!D219)</f>
        <v>0</v>
      </c>
      <c r="F91" s="17">
        <f>'Adjust'!E251*'Input'!$F$58*'Input'!$E219/100</f>
        <v>0</v>
      </c>
      <c r="G91" s="17">
        <f>'Adjust'!F251*'Input'!$F$58*'Input'!$F219/100</f>
        <v>0</v>
      </c>
      <c r="H91" s="17">
        <f>'Adjust'!G251*'Input'!$G219*10</f>
        <v>0</v>
      </c>
      <c r="I91" s="6">
        <f>IF(B91&lt;&gt;0,0.1*D91/B91,"")</f>
        <v>0</v>
      </c>
      <c r="J91" s="35">
        <f>IF(C91&lt;&gt;0,D91/C91,"")</f>
        <v>0</v>
      </c>
      <c r="K91" s="6">
        <f>IF(B91&lt;&gt;0,0.1*E91/B91,0)</f>
        <v>0</v>
      </c>
      <c r="L91" s="17">
        <f>'Adjust'!B251*'Input'!$B219*10</f>
        <v>0</v>
      </c>
      <c r="M91" s="17">
        <f>'Adjust'!C251*'Input'!$C219*10</f>
        <v>0</v>
      </c>
      <c r="N91" s="17">
        <f>'Adjust'!D251*'Input'!$D219*10</f>
        <v>0</v>
      </c>
      <c r="O91" s="29">
        <f>IF(E91&lt;&gt;0,$L91/E91,"")</f>
        <v>0</v>
      </c>
      <c r="P91" s="29">
        <f>IF(E91&lt;&gt;0,$M91/E91,"")</f>
        <v>0</v>
      </c>
      <c r="Q91" s="29">
        <f>IF(E91&lt;&gt;0,$N91/E91,"")</f>
        <v>0</v>
      </c>
      <c r="R91" s="29">
        <f>IF(D91&lt;&gt;0,$F91/D91,"")</f>
        <v>0</v>
      </c>
      <c r="S91" s="29">
        <f>IF(D91&lt;&gt;0,$G91/D91,"")</f>
        <v>0</v>
      </c>
      <c r="T91" s="29">
        <f>IF(D91&lt;&gt;0,$H91/D91,"")</f>
        <v>0</v>
      </c>
      <c r="U91" s="10"/>
    </row>
    <row r="92" spans="1:21">
      <c r="A92" s="11" t="s">
        <v>254</v>
      </c>
      <c r="B92" s="17">
        <f>'Input'!B220+'Input'!C220+'Input'!D220</f>
        <v>0</v>
      </c>
      <c r="C92" s="33">
        <f>'Input'!E220</f>
        <v>0</v>
      </c>
      <c r="D92" s="17">
        <f>0.01*'Input'!F$58*('Adjust'!$E252*'Input'!E220+'Adjust'!$F252*'Input'!F220)+10*('Adjust'!$B252*'Input'!B220+'Adjust'!$C252*'Input'!C220+'Adjust'!$D252*'Input'!D220+'Adjust'!$G252*'Input'!G220)</f>
        <v>0</v>
      </c>
      <c r="E92" s="17">
        <f>10*('Adjust'!$B252*'Input'!B220+'Adjust'!$C252*'Input'!C220+'Adjust'!$D252*'Input'!D220)</f>
        <v>0</v>
      </c>
      <c r="F92" s="17">
        <f>'Adjust'!E252*'Input'!$F$58*'Input'!$E220/100</f>
        <v>0</v>
      </c>
      <c r="G92" s="17">
        <f>'Adjust'!F252*'Input'!$F$58*'Input'!$F220/100</f>
        <v>0</v>
      </c>
      <c r="H92" s="17">
        <f>'Adjust'!G252*'Input'!$G220*10</f>
        <v>0</v>
      </c>
      <c r="I92" s="6">
        <f>IF(B92&lt;&gt;0,0.1*D92/B92,"")</f>
        <v>0</v>
      </c>
      <c r="J92" s="35">
        <f>IF(C92&lt;&gt;0,D92/C92,"")</f>
        <v>0</v>
      </c>
      <c r="K92" s="6">
        <f>IF(B92&lt;&gt;0,0.1*E92/B92,0)</f>
        <v>0</v>
      </c>
      <c r="L92" s="17">
        <f>'Adjust'!B252*'Input'!$B220*10</f>
        <v>0</v>
      </c>
      <c r="M92" s="17">
        <f>'Adjust'!C252*'Input'!$C220*10</f>
        <v>0</v>
      </c>
      <c r="N92" s="17">
        <f>'Adjust'!D252*'Input'!$D220*10</f>
        <v>0</v>
      </c>
      <c r="O92" s="29">
        <f>IF(E92&lt;&gt;0,$L92/E92,"")</f>
        <v>0</v>
      </c>
      <c r="P92" s="29">
        <f>IF(E92&lt;&gt;0,$M92/E92,"")</f>
        <v>0</v>
      </c>
      <c r="Q92" s="29">
        <f>IF(E92&lt;&gt;0,$N92/E92,"")</f>
        <v>0</v>
      </c>
      <c r="R92" s="29">
        <f>IF(D92&lt;&gt;0,$F92/D92,"")</f>
        <v>0</v>
      </c>
      <c r="S92" s="29">
        <f>IF(D92&lt;&gt;0,$G92/D92,"")</f>
        <v>0</v>
      </c>
      <c r="T92" s="29">
        <f>IF(D92&lt;&gt;0,$H92/D92,"")</f>
        <v>0</v>
      </c>
      <c r="U92" s="10"/>
    </row>
    <row r="93" spans="1:21">
      <c r="A93" s="22" t="s">
        <v>255</v>
      </c>
      <c r="U93" s="10"/>
    </row>
    <row r="94" spans="1:21">
      <c r="A94" s="11" t="s">
        <v>192</v>
      </c>
      <c r="B94" s="17">
        <f>'Input'!B222+'Input'!C222+'Input'!D222</f>
        <v>0</v>
      </c>
      <c r="C94" s="33">
        <f>'Input'!E222</f>
        <v>0</v>
      </c>
      <c r="D94" s="17">
        <f>0.01*'Input'!F$58*('Adjust'!$E254*'Input'!E222+'Adjust'!$F254*'Input'!F222)+10*('Adjust'!$B254*'Input'!B222+'Adjust'!$C254*'Input'!C222+'Adjust'!$D254*'Input'!D222+'Adjust'!$G254*'Input'!G222)</f>
        <v>0</v>
      </c>
      <c r="E94" s="17">
        <f>10*('Adjust'!$B254*'Input'!B222+'Adjust'!$C254*'Input'!C222+'Adjust'!$D254*'Input'!D222)</f>
        <v>0</v>
      </c>
      <c r="F94" s="17">
        <f>'Adjust'!E254*'Input'!$F$58*'Input'!$E222/100</f>
        <v>0</v>
      </c>
      <c r="G94" s="17">
        <f>'Adjust'!F254*'Input'!$F$58*'Input'!$F222/100</f>
        <v>0</v>
      </c>
      <c r="H94" s="17">
        <f>'Adjust'!G254*'Input'!$G222*10</f>
        <v>0</v>
      </c>
      <c r="I94" s="6">
        <f>IF(B94&lt;&gt;0,0.1*D94/B94,"")</f>
        <v>0</v>
      </c>
      <c r="J94" s="35">
        <f>IF(C94&lt;&gt;0,D94/C94,"")</f>
        <v>0</v>
      </c>
      <c r="K94" s="6">
        <f>IF(B94&lt;&gt;0,0.1*E94/B94,0)</f>
        <v>0</v>
      </c>
      <c r="L94" s="17">
        <f>'Adjust'!B254*'Input'!$B222*10</f>
        <v>0</v>
      </c>
      <c r="M94" s="17">
        <f>'Adjust'!C254*'Input'!$C222*10</f>
        <v>0</v>
      </c>
      <c r="N94" s="17">
        <f>'Adjust'!D254*'Input'!$D222*10</f>
        <v>0</v>
      </c>
      <c r="O94" s="29">
        <f>IF(E94&lt;&gt;0,$L94/E94,"")</f>
        <v>0</v>
      </c>
      <c r="P94" s="29">
        <f>IF(E94&lt;&gt;0,$M94/E94,"")</f>
        <v>0</v>
      </c>
      <c r="Q94" s="29">
        <f>IF(E94&lt;&gt;0,$N94/E94,"")</f>
        <v>0</v>
      </c>
      <c r="R94" s="29">
        <f>IF(D94&lt;&gt;0,$F94/D94,"")</f>
        <v>0</v>
      </c>
      <c r="S94" s="29">
        <f>IF(D94&lt;&gt;0,$G94/D94,"")</f>
        <v>0</v>
      </c>
      <c r="T94" s="29">
        <f>IF(D94&lt;&gt;0,$H94/D94,"")</f>
        <v>0</v>
      </c>
      <c r="U94" s="10"/>
    </row>
    <row r="95" spans="1:21">
      <c r="A95" s="11" t="s">
        <v>256</v>
      </c>
      <c r="B95" s="17">
        <f>'Input'!B223+'Input'!C223+'Input'!D223</f>
        <v>0</v>
      </c>
      <c r="C95" s="33">
        <f>'Input'!E223</f>
        <v>0</v>
      </c>
      <c r="D95" s="17">
        <f>0.01*'Input'!F$58*('Adjust'!$E255*'Input'!E223+'Adjust'!$F255*'Input'!F223)+10*('Adjust'!$B255*'Input'!B223+'Adjust'!$C255*'Input'!C223+'Adjust'!$D255*'Input'!D223+'Adjust'!$G255*'Input'!G223)</f>
        <v>0</v>
      </c>
      <c r="E95" s="17">
        <f>10*('Adjust'!$B255*'Input'!B223+'Adjust'!$C255*'Input'!C223+'Adjust'!$D255*'Input'!D223)</f>
        <v>0</v>
      </c>
      <c r="F95" s="17">
        <f>'Adjust'!E255*'Input'!$F$58*'Input'!$E223/100</f>
        <v>0</v>
      </c>
      <c r="G95" s="17">
        <f>'Adjust'!F255*'Input'!$F$58*'Input'!$F223/100</f>
        <v>0</v>
      </c>
      <c r="H95" s="17">
        <f>'Adjust'!G255*'Input'!$G223*10</f>
        <v>0</v>
      </c>
      <c r="I95" s="6">
        <f>IF(B95&lt;&gt;0,0.1*D95/B95,"")</f>
        <v>0</v>
      </c>
      <c r="J95" s="35">
        <f>IF(C95&lt;&gt;0,D95/C95,"")</f>
        <v>0</v>
      </c>
      <c r="K95" s="6">
        <f>IF(B95&lt;&gt;0,0.1*E95/B95,0)</f>
        <v>0</v>
      </c>
      <c r="L95" s="17">
        <f>'Adjust'!B255*'Input'!$B223*10</f>
        <v>0</v>
      </c>
      <c r="M95" s="17">
        <f>'Adjust'!C255*'Input'!$C223*10</f>
        <v>0</v>
      </c>
      <c r="N95" s="17">
        <f>'Adjust'!D255*'Input'!$D223*10</f>
        <v>0</v>
      </c>
      <c r="O95" s="29">
        <f>IF(E95&lt;&gt;0,$L95/E95,"")</f>
        <v>0</v>
      </c>
      <c r="P95" s="29">
        <f>IF(E95&lt;&gt;0,$M95/E95,"")</f>
        <v>0</v>
      </c>
      <c r="Q95" s="29">
        <f>IF(E95&lt;&gt;0,$N95/E95,"")</f>
        <v>0</v>
      </c>
      <c r="R95" s="29">
        <f>IF(D95&lt;&gt;0,$F95/D95,"")</f>
        <v>0</v>
      </c>
      <c r="S95" s="29">
        <f>IF(D95&lt;&gt;0,$G95/D95,"")</f>
        <v>0</v>
      </c>
      <c r="T95" s="29">
        <f>IF(D95&lt;&gt;0,$H95/D95,"")</f>
        <v>0</v>
      </c>
      <c r="U95" s="10"/>
    </row>
    <row r="96" spans="1:21">
      <c r="A96" s="22" t="s">
        <v>257</v>
      </c>
      <c r="U96" s="10"/>
    </row>
    <row r="97" spans="1:21">
      <c r="A97" s="11" t="s">
        <v>212</v>
      </c>
      <c r="B97" s="17">
        <f>'Input'!B225+'Input'!C225+'Input'!D225</f>
        <v>0</v>
      </c>
      <c r="C97" s="33">
        <f>'Input'!E225</f>
        <v>0</v>
      </c>
      <c r="D97" s="17">
        <f>0.01*'Input'!F$58*('Adjust'!$E257*'Input'!E225+'Adjust'!$F257*'Input'!F225)+10*('Adjust'!$B257*'Input'!B225+'Adjust'!$C257*'Input'!C225+'Adjust'!$D257*'Input'!D225+'Adjust'!$G257*'Input'!G225)</f>
        <v>0</v>
      </c>
      <c r="E97" s="17">
        <f>10*('Adjust'!$B257*'Input'!B225+'Adjust'!$C257*'Input'!C225+'Adjust'!$D257*'Input'!D225)</f>
        <v>0</v>
      </c>
      <c r="F97" s="17">
        <f>'Adjust'!E257*'Input'!$F$58*'Input'!$E225/100</f>
        <v>0</v>
      </c>
      <c r="G97" s="17">
        <f>'Adjust'!F257*'Input'!$F$58*'Input'!$F225/100</f>
        <v>0</v>
      </c>
      <c r="H97" s="17">
        <f>'Adjust'!G257*'Input'!$G225*10</f>
        <v>0</v>
      </c>
      <c r="I97" s="6">
        <f>IF(B97&lt;&gt;0,0.1*D97/B97,"")</f>
        <v>0</v>
      </c>
      <c r="J97" s="35">
        <f>IF(C97&lt;&gt;0,D97/C97,"")</f>
        <v>0</v>
      </c>
      <c r="K97" s="6">
        <f>IF(B97&lt;&gt;0,0.1*E97/B97,0)</f>
        <v>0</v>
      </c>
      <c r="L97" s="17">
        <f>'Adjust'!B257*'Input'!$B225*10</f>
        <v>0</v>
      </c>
      <c r="M97" s="17">
        <f>'Adjust'!C257*'Input'!$C225*10</f>
        <v>0</v>
      </c>
      <c r="N97" s="17">
        <f>'Adjust'!D257*'Input'!$D225*10</f>
        <v>0</v>
      </c>
      <c r="O97" s="29">
        <f>IF(E97&lt;&gt;0,$L97/E97,"")</f>
        <v>0</v>
      </c>
      <c r="P97" s="29">
        <f>IF(E97&lt;&gt;0,$M97/E97,"")</f>
        <v>0</v>
      </c>
      <c r="Q97" s="29">
        <f>IF(E97&lt;&gt;0,$N97/E97,"")</f>
        <v>0</v>
      </c>
      <c r="R97" s="29">
        <f>IF(D97&lt;&gt;0,$F97/D97,"")</f>
        <v>0</v>
      </c>
      <c r="S97" s="29">
        <f>IF(D97&lt;&gt;0,$G97/D97,"")</f>
        <v>0</v>
      </c>
      <c r="T97" s="29">
        <f>IF(D97&lt;&gt;0,$H97/D97,"")</f>
        <v>0</v>
      </c>
      <c r="U97" s="10"/>
    </row>
    <row r="98" spans="1:21">
      <c r="A98" s="11" t="s">
        <v>258</v>
      </c>
      <c r="B98" s="17">
        <f>'Input'!B226+'Input'!C226+'Input'!D226</f>
        <v>0</v>
      </c>
      <c r="C98" s="33">
        <f>'Input'!E226</f>
        <v>0</v>
      </c>
      <c r="D98" s="17">
        <f>0.01*'Input'!F$58*('Adjust'!$E258*'Input'!E226+'Adjust'!$F258*'Input'!F226)+10*('Adjust'!$B258*'Input'!B226+'Adjust'!$C258*'Input'!C226+'Adjust'!$D258*'Input'!D226+'Adjust'!$G258*'Input'!G226)</f>
        <v>0</v>
      </c>
      <c r="E98" s="17">
        <f>10*('Adjust'!$B258*'Input'!B226+'Adjust'!$C258*'Input'!C226+'Adjust'!$D258*'Input'!D226)</f>
        <v>0</v>
      </c>
      <c r="F98" s="17">
        <f>'Adjust'!E258*'Input'!$F$58*'Input'!$E226/100</f>
        <v>0</v>
      </c>
      <c r="G98" s="17">
        <f>'Adjust'!F258*'Input'!$F$58*'Input'!$F226/100</f>
        <v>0</v>
      </c>
      <c r="H98" s="17">
        <f>'Adjust'!G258*'Input'!$G226*10</f>
        <v>0</v>
      </c>
      <c r="I98" s="6">
        <f>IF(B98&lt;&gt;0,0.1*D98/B98,"")</f>
        <v>0</v>
      </c>
      <c r="J98" s="35">
        <f>IF(C98&lt;&gt;0,D98/C98,"")</f>
        <v>0</v>
      </c>
      <c r="K98" s="6">
        <f>IF(B98&lt;&gt;0,0.1*E98/B98,0)</f>
        <v>0</v>
      </c>
      <c r="L98" s="17">
        <f>'Adjust'!B258*'Input'!$B226*10</f>
        <v>0</v>
      </c>
      <c r="M98" s="17">
        <f>'Adjust'!C258*'Input'!$C226*10</f>
        <v>0</v>
      </c>
      <c r="N98" s="17">
        <f>'Adjust'!D258*'Input'!$D226*10</f>
        <v>0</v>
      </c>
      <c r="O98" s="29">
        <f>IF(E98&lt;&gt;0,$L98/E98,"")</f>
        <v>0</v>
      </c>
      <c r="P98" s="29">
        <f>IF(E98&lt;&gt;0,$M98/E98,"")</f>
        <v>0</v>
      </c>
      <c r="Q98" s="29">
        <f>IF(E98&lt;&gt;0,$N98/E98,"")</f>
        <v>0</v>
      </c>
      <c r="R98" s="29">
        <f>IF(D98&lt;&gt;0,$F98/D98,"")</f>
        <v>0</v>
      </c>
      <c r="S98" s="29">
        <f>IF(D98&lt;&gt;0,$G98/D98,"")</f>
        <v>0</v>
      </c>
      <c r="T98" s="29">
        <f>IF(D98&lt;&gt;0,$H98/D98,"")</f>
        <v>0</v>
      </c>
      <c r="U98" s="10"/>
    </row>
    <row r="99" spans="1:21">
      <c r="A99" s="11" t="s">
        <v>259</v>
      </c>
      <c r="B99" s="17">
        <f>'Input'!B227+'Input'!C227+'Input'!D227</f>
        <v>0</v>
      </c>
      <c r="C99" s="33">
        <f>'Input'!E227</f>
        <v>0</v>
      </c>
      <c r="D99" s="17">
        <f>0.01*'Input'!F$58*('Adjust'!$E259*'Input'!E227+'Adjust'!$F259*'Input'!F227)+10*('Adjust'!$B259*'Input'!B227+'Adjust'!$C259*'Input'!C227+'Adjust'!$D259*'Input'!D227+'Adjust'!$G259*'Input'!G227)</f>
        <v>0</v>
      </c>
      <c r="E99" s="17">
        <f>10*('Adjust'!$B259*'Input'!B227+'Adjust'!$C259*'Input'!C227+'Adjust'!$D259*'Input'!D227)</f>
        <v>0</v>
      </c>
      <c r="F99" s="17">
        <f>'Adjust'!E259*'Input'!$F$58*'Input'!$E227/100</f>
        <v>0</v>
      </c>
      <c r="G99" s="17">
        <f>'Adjust'!F259*'Input'!$F$58*'Input'!$F227/100</f>
        <v>0</v>
      </c>
      <c r="H99" s="17">
        <f>'Adjust'!G259*'Input'!$G227*10</f>
        <v>0</v>
      </c>
      <c r="I99" s="6">
        <f>IF(B99&lt;&gt;0,0.1*D99/B99,"")</f>
        <v>0</v>
      </c>
      <c r="J99" s="35">
        <f>IF(C99&lt;&gt;0,D99/C99,"")</f>
        <v>0</v>
      </c>
      <c r="K99" s="6">
        <f>IF(B99&lt;&gt;0,0.1*E99/B99,0)</f>
        <v>0</v>
      </c>
      <c r="L99" s="17">
        <f>'Adjust'!B259*'Input'!$B227*10</f>
        <v>0</v>
      </c>
      <c r="M99" s="17">
        <f>'Adjust'!C259*'Input'!$C227*10</f>
        <v>0</v>
      </c>
      <c r="N99" s="17">
        <f>'Adjust'!D259*'Input'!$D227*10</f>
        <v>0</v>
      </c>
      <c r="O99" s="29">
        <f>IF(E99&lt;&gt;0,$L99/E99,"")</f>
        <v>0</v>
      </c>
      <c r="P99" s="29">
        <f>IF(E99&lt;&gt;0,$M99/E99,"")</f>
        <v>0</v>
      </c>
      <c r="Q99" s="29">
        <f>IF(E99&lt;&gt;0,$N99/E99,"")</f>
        <v>0</v>
      </c>
      <c r="R99" s="29">
        <f>IF(D99&lt;&gt;0,$F99/D99,"")</f>
        <v>0</v>
      </c>
      <c r="S99" s="29">
        <f>IF(D99&lt;&gt;0,$G99/D99,"")</f>
        <v>0</v>
      </c>
      <c r="T99" s="29">
        <f>IF(D99&lt;&gt;0,$H99/D99,"")</f>
        <v>0</v>
      </c>
      <c r="U99" s="10"/>
    </row>
    <row r="100" spans="1:21">
      <c r="A100" s="22" t="s">
        <v>260</v>
      </c>
      <c r="U100" s="10"/>
    </row>
    <row r="101" spans="1:21">
      <c r="A101" s="11" t="s">
        <v>213</v>
      </c>
      <c r="B101" s="17">
        <f>'Input'!B229+'Input'!C229+'Input'!D229</f>
        <v>0</v>
      </c>
      <c r="C101" s="33">
        <f>'Input'!E229</f>
        <v>0</v>
      </c>
      <c r="D101" s="17">
        <f>0.01*'Input'!F$58*('Adjust'!$E261*'Input'!E229+'Adjust'!$F261*'Input'!F229)+10*('Adjust'!$B261*'Input'!B229+'Adjust'!$C261*'Input'!C229+'Adjust'!$D261*'Input'!D229+'Adjust'!$G261*'Input'!G229)</f>
        <v>0</v>
      </c>
      <c r="E101" s="17">
        <f>10*('Adjust'!$B261*'Input'!B229+'Adjust'!$C261*'Input'!C229+'Adjust'!$D261*'Input'!D229)</f>
        <v>0</v>
      </c>
      <c r="F101" s="17">
        <f>'Adjust'!E261*'Input'!$F$58*'Input'!$E229/100</f>
        <v>0</v>
      </c>
      <c r="G101" s="17">
        <f>'Adjust'!F261*'Input'!$F$58*'Input'!$F229/100</f>
        <v>0</v>
      </c>
      <c r="H101" s="17">
        <f>'Adjust'!G261*'Input'!$G229*10</f>
        <v>0</v>
      </c>
      <c r="I101" s="6">
        <f>IF(B101&lt;&gt;0,0.1*D101/B101,"")</f>
        <v>0</v>
      </c>
      <c r="J101" s="35">
        <f>IF(C101&lt;&gt;0,D101/C101,"")</f>
        <v>0</v>
      </c>
      <c r="K101" s="6">
        <f>IF(B101&lt;&gt;0,0.1*E101/B101,0)</f>
        <v>0</v>
      </c>
      <c r="L101" s="17">
        <f>'Adjust'!B261*'Input'!$B229*10</f>
        <v>0</v>
      </c>
      <c r="M101" s="17">
        <f>'Adjust'!C261*'Input'!$C229*10</f>
        <v>0</v>
      </c>
      <c r="N101" s="17">
        <f>'Adjust'!D261*'Input'!$D229*10</f>
        <v>0</v>
      </c>
      <c r="O101" s="29">
        <f>IF(E101&lt;&gt;0,$L101/E101,"")</f>
        <v>0</v>
      </c>
      <c r="P101" s="29">
        <f>IF(E101&lt;&gt;0,$M101/E101,"")</f>
        <v>0</v>
      </c>
      <c r="Q101" s="29">
        <f>IF(E101&lt;&gt;0,$N101/E101,"")</f>
        <v>0</v>
      </c>
      <c r="R101" s="29">
        <f>IF(D101&lt;&gt;0,$F101/D101,"")</f>
        <v>0</v>
      </c>
      <c r="S101" s="29">
        <f>IF(D101&lt;&gt;0,$G101/D101,"")</f>
        <v>0</v>
      </c>
      <c r="T101" s="29">
        <f>IF(D101&lt;&gt;0,$H101/D101,"")</f>
        <v>0</v>
      </c>
      <c r="U101" s="10"/>
    </row>
    <row r="102" spans="1:21">
      <c r="A102" s="11" t="s">
        <v>261</v>
      </c>
      <c r="B102" s="17">
        <f>'Input'!B230+'Input'!C230+'Input'!D230</f>
        <v>0</v>
      </c>
      <c r="C102" s="33">
        <f>'Input'!E230</f>
        <v>0</v>
      </c>
      <c r="D102" s="17">
        <f>0.01*'Input'!F$58*('Adjust'!$E262*'Input'!E230+'Adjust'!$F262*'Input'!F230)+10*('Adjust'!$B262*'Input'!B230+'Adjust'!$C262*'Input'!C230+'Adjust'!$D262*'Input'!D230+'Adjust'!$G262*'Input'!G230)</f>
        <v>0</v>
      </c>
      <c r="E102" s="17">
        <f>10*('Adjust'!$B262*'Input'!B230+'Adjust'!$C262*'Input'!C230+'Adjust'!$D262*'Input'!D230)</f>
        <v>0</v>
      </c>
      <c r="F102" s="17">
        <f>'Adjust'!E262*'Input'!$F$58*'Input'!$E230/100</f>
        <v>0</v>
      </c>
      <c r="G102" s="17">
        <f>'Adjust'!F262*'Input'!$F$58*'Input'!$F230/100</f>
        <v>0</v>
      </c>
      <c r="H102" s="17">
        <f>'Adjust'!G262*'Input'!$G230*10</f>
        <v>0</v>
      </c>
      <c r="I102" s="6">
        <f>IF(B102&lt;&gt;0,0.1*D102/B102,"")</f>
        <v>0</v>
      </c>
      <c r="J102" s="35">
        <f>IF(C102&lt;&gt;0,D102/C102,"")</f>
        <v>0</v>
      </c>
      <c r="K102" s="6">
        <f>IF(B102&lt;&gt;0,0.1*E102/B102,0)</f>
        <v>0</v>
      </c>
      <c r="L102" s="17">
        <f>'Adjust'!B262*'Input'!$B230*10</f>
        <v>0</v>
      </c>
      <c r="M102" s="17">
        <f>'Adjust'!C262*'Input'!$C230*10</f>
        <v>0</v>
      </c>
      <c r="N102" s="17">
        <f>'Adjust'!D262*'Input'!$D230*10</f>
        <v>0</v>
      </c>
      <c r="O102" s="29">
        <f>IF(E102&lt;&gt;0,$L102/E102,"")</f>
        <v>0</v>
      </c>
      <c r="P102" s="29">
        <f>IF(E102&lt;&gt;0,$M102/E102,"")</f>
        <v>0</v>
      </c>
      <c r="Q102" s="29">
        <f>IF(E102&lt;&gt;0,$N102/E102,"")</f>
        <v>0</v>
      </c>
      <c r="R102" s="29">
        <f>IF(D102&lt;&gt;0,$F102/D102,"")</f>
        <v>0</v>
      </c>
      <c r="S102" s="29">
        <f>IF(D102&lt;&gt;0,$G102/D102,"")</f>
        <v>0</v>
      </c>
      <c r="T102" s="29">
        <f>IF(D102&lt;&gt;0,$H102/D102,"")</f>
        <v>0</v>
      </c>
      <c r="U102" s="10"/>
    </row>
    <row r="103" spans="1:21">
      <c r="A103" s="11" t="s">
        <v>262</v>
      </c>
      <c r="B103" s="17">
        <f>'Input'!B231+'Input'!C231+'Input'!D231</f>
        <v>0</v>
      </c>
      <c r="C103" s="33">
        <f>'Input'!E231</f>
        <v>0</v>
      </c>
      <c r="D103" s="17">
        <f>0.01*'Input'!F$58*('Adjust'!$E263*'Input'!E231+'Adjust'!$F263*'Input'!F231)+10*('Adjust'!$B263*'Input'!B231+'Adjust'!$C263*'Input'!C231+'Adjust'!$D263*'Input'!D231+'Adjust'!$G263*'Input'!G231)</f>
        <v>0</v>
      </c>
      <c r="E103" s="17">
        <f>10*('Adjust'!$B263*'Input'!B231+'Adjust'!$C263*'Input'!C231+'Adjust'!$D263*'Input'!D231)</f>
        <v>0</v>
      </c>
      <c r="F103" s="17">
        <f>'Adjust'!E263*'Input'!$F$58*'Input'!$E231/100</f>
        <v>0</v>
      </c>
      <c r="G103" s="17">
        <f>'Adjust'!F263*'Input'!$F$58*'Input'!$F231/100</f>
        <v>0</v>
      </c>
      <c r="H103" s="17">
        <f>'Adjust'!G263*'Input'!$G231*10</f>
        <v>0</v>
      </c>
      <c r="I103" s="6">
        <f>IF(B103&lt;&gt;0,0.1*D103/B103,"")</f>
        <v>0</v>
      </c>
      <c r="J103" s="35">
        <f>IF(C103&lt;&gt;0,D103/C103,"")</f>
        <v>0</v>
      </c>
      <c r="K103" s="6">
        <f>IF(B103&lt;&gt;0,0.1*E103/B103,0)</f>
        <v>0</v>
      </c>
      <c r="L103" s="17">
        <f>'Adjust'!B263*'Input'!$B231*10</f>
        <v>0</v>
      </c>
      <c r="M103" s="17">
        <f>'Adjust'!C263*'Input'!$C231*10</f>
        <v>0</v>
      </c>
      <c r="N103" s="17">
        <f>'Adjust'!D263*'Input'!$D231*10</f>
        <v>0</v>
      </c>
      <c r="O103" s="29">
        <f>IF(E103&lt;&gt;0,$L103/E103,"")</f>
        <v>0</v>
      </c>
      <c r="P103" s="29">
        <f>IF(E103&lt;&gt;0,$M103/E103,"")</f>
        <v>0</v>
      </c>
      <c r="Q103" s="29">
        <f>IF(E103&lt;&gt;0,$N103/E103,"")</f>
        <v>0</v>
      </c>
      <c r="R103" s="29">
        <f>IF(D103&lt;&gt;0,$F103/D103,"")</f>
        <v>0</v>
      </c>
      <c r="S103" s="29">
        <f>IF(D103&lt;&gt;0,$G103/D103,"")</f>
        <v>0</v>
      </c>
      <c r="T103" s="29">
        <f>IF(D103&lt;&gt;0,$H103/D103,"")</f>
        <v>0</v>
      </c>
      <c r="U103" s="10"/>
    </row>
    <row r="104" spans="1:21">
      <c r="A104" s="22" t="s">
        <v>263</v>
      </c>
      <c r="U104" s="10"/>
    </row>
    <row r="105" spans="1:21">
      <c r="A105" s="11" t="s">
        <v>214</v>
      </c>
      <c r="B105" s="17">
        <f>'Input'!B233+'Input'!C233+'Input'!D233</f>
        <v>0</v>
      </c>
      <c r="C105" s="33">
        <f>'Input'!E233</f>
        <v>0</v>
      </c>
      <c r="D105" s="17">
        <f>0.01*'Input'!F$58*('Adjust'!$E265*'Input'!E233+'Adjust'!$F265*'Input'!F233)+10*('Adjust'!$B265*'Input'!B233+'Adjust'!$C265*'Input'!C233+'Adjust'!$D265*'Input'!D233+'Adjust'!$G265*'Input'!G233)</f>
        <v>0</v>
      </c>
      <c r="E105" s="17">
        <f>10*('Adjust'!$B265*'Input'!B233+'Adjust'!$C265*'Input'!C233+'Adjust'!$D265*'Input'!D233)</f>
        <v>0</v>
      </c>
      <c r="F105" s="17">
        <f>'Adjust'!E265*'Input'!$F$58*'Input'!$E233/100</f>
        <v>0</v>
      </c>
      <c r="G105" s="17">
        <f>'Adjust'!F265*'Input'!$F$58*'Input'!$F233/100</f>
        <v>0</v>
      </c>
      <c r="H105" s="17">
        <f>'Adjust'!G265*'Input'!$G233*10</f>
        <v>0</v>
      </c>
      <c r="I105" s="6">
        <f>IF(B105&lt;&gt;0,0.1*D105/B105,"")</f>
        <v>0</v>
      </c>
      <c r="J105" s="35">
        <f>IF(C105&lt;&gt;0,D105/C105,"")</f>
        <v>0</v>
      </c>
      <c r="K105" s="6">
        <f>IF(B105&lt;&gt;0,0.1*E105/B105,0)</f>
        <v>0</v>
      </c>
      <c r="L105" s="17">
        <f>'Adjust'!B265*'Input'!$B233*10</f>
        <v>0</v>
      </c>
      <c r="M105" s="17">
        <f>'Adjust'!C265*'Input'!$C233*10</f>
        <v>0</v>
      </c>
      <c r="N105" s="17">
        <f>'Adjust'!D265*'Input'!$D233*10</f>
        <v>0</v>
      </c>
      <c r="O105" s="29">
        <f>IF(E105&lt;&gt;0,$L105/E105,"")</f>
        <v>0</v>
      </c>
      <c r="P105" s="29">
        <f>IF(E105&lt;&gt;0,$M105/E105,"")</f>
        <v>0</v>
      </c>
      <c r="Q105" s="29">
        <f>IF(E105&lt;&gt;0,$N105/E105,"")</f>
        <v>0</v>
      </c>
      <c r="R105" s="29">
        <f>IF(D105&lt;&gt;0,$F105/D105,"")</f>
        <v>0</v>
      </c>
      <c r="S105" s="29">
        <f>IF(D105&lt;&gt;0,$G105/D105,"")</f>
        <v>0</v>
      </c>
      <c r="T105" s="29">
        <f>IF(D105&lt;&gt;0,$H105/D105,"")</f>
        <v>0</v>
      </c>
      <c r="U105" s="10"/>
    </row>
    <row r="106" spans="1:21">
      <c r="A106" s="11" t="s">
        <v>264</v>
      </c>
      <c r="B106" s="17">
        <f>'Input'!B234+'Input'!C234+'Input'!D234</f>
        <v>0</v>
      </c>
      <c r="C106" s="33">
        <f>'Input'!E234</f>
        <v>0</v>
      </c>
      <c r="D106" s="17">
        <f>0.01*'Input'!F$58*('Adjust'!$E266*'Input'!E234+'Adjust'!$F266*'Input'!F234)+10*('Adjust'!$B266*'Input'!B234+'Adjust'!$C266*'Input'!C234+'Adjust'!$D266*'Input'!D234+'Adjust'!$G266*'Input'!G234)</f>
        <v>0</v>
      </c>
      <c r="E106" s="17">
        <f>10*('Adjust'!$B266*'Input'!B234+'Adjust'!$C266*'Input'!C234+'Adjust'!$D266*'Input'!D234)</f>
        <v>0</v>
      </c>
      <c r="F106" s="17">
        <f>'Adjust'!E266*'Input'!$F$58*'Input'!$E234/100</f>
        <v>0</v>
      </c>
      <c r="G106" s="17">
        <f>'Adjust'!F266*'Input'!$F$58*'Input'!$F234/100</f>
        <v>0</v>
      </c>
      <c r="H106" s="17">
        <f>'Adjust'!G266*'Input'!$G234*10</f>
        <v>0</v>
      </c>
      <c r="I106" s="6">
        <f>IF(B106&lt;&gt;0,0.1*D106/B106,"")</f>
        <v>0</v>
      </c>
      <c r="J106" s="35">
        <f>IF(C106&lt;&gt;0,D106/C106,"")</f>
        <v>0</v>
      </c>
      <c r="K106" s="6">
        <f>IF(B106&lt;&gt;0,0.1*E106/B106,0)</f>
        <v>0</v>
      </c>
      <c r="L106" s="17">
        <f>'Adjust'!B266*'Input'!$B234*10</f>
        <v>0</v>
      </c>
      <c r="M106" s="17">
        <f>'Adjust'!C266*'Input'!$C234*10</f>
        <v>0</v>
      </c>
      <c r="N106" s="17">
        <f>'Adjust'!D266*'Input'!$D234*10</f>
        <v>0</v>
      </c>
      <c r="O106" s="29">
        <f>IF(E106&lt;&gt;0,$L106/E106,"")</f>
        <v>0</v>
      </c>
      <c r="P106" s="29">
        <f>IF(E106&lt;&gt;0,$M106/E106,"")</f>
        <v>0</v>
      </c>
      <c r="Q106" s="29">
        <f>IF(E106&lt;&gt;0,$N106/E106,"")</f>
        <v>0</v>
      </c>
      <c r="R106" s="29">
        <f>IF(D106&lt;&gt;0,$F106/D106,"")</f>
        <v>0</v>
      </c>
      <c r="S106" s="29">
        <f>IF(D106&lt;&gt;0,$G106/D106,"")</f>
        <v>0</v>
      </c>
      <c r="T106" s="29">
        <f>IF(D106&lt;&gt;0,$H106/D106,"")</f>
        <v>0</v>
      </c>
      <c r="U106" s="10"/>
    </row>
    <row r="107" spans="1:21">
      <c r="A107" s="11" t="s">
        <v>265</v>
      </c>
      <c r="B107" s="17">
        <f>'Input'!B235+'Input'!C235+'Input'!D235</f>
        <v>0</v>
      </c>
      <c r="C107" s="33">
        <f>'Input'!E235</f>
        <v>0</v>
      </c>
      <c r="D107" s="17">
        <f>0.01*'Input'!F$58*('Adjust'!$E267*'Input'!E235+'Adjust'!$F267*'Input'!F235)+10*('Adjust'!$B267*'Input'!B235+'Adjust'!$C267*'Input'!C235+'Adjust'!$D267*'Input'!D235+'Adjust'!$G267*'Input'!G235)</f>
        <v>0</v>
      </c>
      <c r="E107" s="17">
        <f>10*('Adjust'!$B267*'Input'!B235+'Adjust'!$C267*'Input'!C235+'Adjust'!$D267*'Input'!D235)</f>
        <v>0</v>
      </c>
      <c r="F107" s="17">
        <f>'Adjust'!E267*'Input'!$F$58*'Input'!$E235/100</f>
        <v>0</v>
      </c>
      <c r="G107" s="17">
        <f>'Adjust'!F267*'Input'!$F$58*'Input'!$F235/100</f>
        <v>0</v>
      </c>
      <c r="H107" s="17">
        <f>'Adjust'!G267*'Input'!$G235*10</f>
        <v>0</v>
      </c>
      <c r="I107" s="6">
        <f>IF(B107&lt;&gt;0,0.1*D107/B107,"")</f>
        <v>0</v>
      </c>
      <c r="J107" s="35">
        <f>IF(C107&lt;&gt;0,D107/C107,"")</f>
        <v>0</v>
      </c>
      <c r="K107" s="6">
        <f>IF(B107&lt;&gt;0,0.1*E107/B107,0)</f>
        <v>0</v>
      </c>
      <c r="L107" s="17">
        <f>'Adjust'!B267*'Input'!$B235*10</f>
        <v>0</v>
      </c>
      <c r="M107" s="17">
        <f>'Adjust'!C267*'Input'!$C235*10</f>
        <v>0</v>
      </c>
      <c r="N107" s="17">
        <f>'Adjust'!D267*'Input'!$D235*10</f>
        <v>0</v>
      </c>
      <c r="O107" s="29">
        <f>IF(E107&lt;&gt;0,$L107/E107,"")</f>
        <v>0</v>
      </c>
      <c r="P107" s="29">
        <f>IF(E107&lt;&gt;0,$M107/E107,"")</f>
        <v>0</v>
      </c>
      <c r="Q107" s="29">
        <f>IF(E107&lt;&gt;0,$N107/E107,"")</f>
        <v>0</v>
      </c>
      <c r="R107" s="29">
        <f>IF(D107&lt;&gt;0,$F107/D107,"")</f>
        <v>0</v>
      </c>
      <c r="S107" s="29">
        <f>IF(D107&lt;&gt;0,$G107/D107,"")</f>
        <v>0</v>
      </c>
      <c r="T107" s="29">
        <f>IF(D107&lt;&gt;0,$H107/D107,"")</f>
        <v>0</v>
      </c>
      <c r="U107" s="10"/>
    </row>
    <row r="108" spans="1:21">
      <c r="A108" s="22" t="s">
        <v>266</v>
      </c>
      <c r="U108" s="10"/>
    </row>
    <row r="109" spans="1:21">
      <c r="A109" s="11" t="s">
        <v>215</v>
      </c>
      <c r="B109" s="17">
        <f>'Input'!B237+'Input'!C237+'Input'!D237</f>
        <v>0</v>
      </c>
      <c r="C109" s="33">
        <f>'Input'!E237</f>
        <v>0</v>
      </c>
      <c r="D109" s="17">
        <f>0.01*'Input'!F$58*('Adjust'!$E269*'Input'!E237+'Adjust'!$F269*'Input'!F237)+10*('Adjust'!$B269*'Input'!B237+'Adjust'!$C269*'Input'!C237+'Adjust'!$D269*'Input'!D237+'Adjust'!$G269*'Input'!G237)</f>
        <v>0</v>
      </c>
      <c r="E109" s="17">
        <f>10*('Adjust'!$B269*'Input'!B237+'Adjust'!$C269*'Input'!C237+'Adjust'!$D269*'Input'!D237)</f>
        <v>0</v>
      </c>
      <c r="F109" s="17">
        <f>'Adjust'!E269*'Input'!$F$58*'Input'!$E237/100</f>
        <v>0</v>
      </c>
      <c r="G109" s="17">
        <f>'Adjust'!F269*'Input'!$F$58*'Input'!$F237/100</f>
        <v>0</v>
      </c>
      <c r="H109" s="17">
        <f>'Adjust'!G269*'Input'!$G237*10</f>
        <v>0</v>
      </c>
      <c r="I109" s="6">
        <f>IF(B109&lt;&gt;0,0.1*D109/B109,"")</f>
        <v>0</v>
      </c>
      <c r="J109" s="35">
        <f>IF(C109&lt;&gt;0,D109/C109,"")</f>
        <v>0</v>
      </c>
      <c r="K109" s="6">
        <f>IF(B109&lt;&gt;0,0.1*E109/B109,0)</f>
        <v>0</v>
      </c>
      <c r="L109" s="17">
        <f>'Adjust'!B269*'Input'!$B237*10</f>
        <v>0</v>
      </c>
      <c r="M109" s="17">
        <f>'Adjust'!C269*'Input'!$C237*10</f>
        <v>0</v>
      </c>
      <c r="N109" s="17">
        <f>'Adjust'!D269*'Input'!$D237*10</f>
        <v>0</v>
      </c>
      <c r="O109" s="29">
        <f>IF(E109&lt;&gt;0,$L109/E109,"")</f>
        <v>0</v>
      </c>
      <c r="P109" s="29">
        <f>IF(E109&lt;&gt;0,$M109/E109,"")</f>
        <v>0</v>
      </c>
      <c r="Q109" s="29">
        <f>IF(E109&lt;&gt;0,$N109/E109,"")</f>
        <v>0</v>
      </c>
      <c r="R109" s="29">
        <f>IF(D109&lt;&gt;0,$F109/D109,"")</f>
        <v>0</v>
      </c>
      <c r="S109" s="29">
        <f>IF(D109&lt;&gt;0,$G109/D109,"")</f>
        <v>0</v>
      </c>
      <c r="T109" s="29">
        <f>IF(D109&lt;&gt;0,$H109/D109,"")</f>
        <v>0</v>
      </c>
      <c r="U109" s="10"/>
    </row>
    <row r="110" spans="1:21">
      <c r="A110" s="11" t="s">
        <v>267</v>
      </c>
      <c r="B110" s="17">
        <f>'Input'!B238+'Input'!C238+'Input'!D238</f>
        <v>0</v>
      </c>
      <c r="C110" s="33">
        <f>'Input'!E238</f>
        <v>0</v>
      </c>
      <c r="D110" s="17">
        <f>0.01*'Input'!F$58*('Adjust'!$E270*'Input'!E238+'Adjust'!$F270*'Input'!F238)+10*('Adjust'!$B270*'Input'!B238+'Adjust'!$C270*'Input'!C238+'Adjust'!$D270*'Input'!D238+'Adjust'!$G270*'Input'!G238)</f>
        <v>0</v>
      </c>
      <c r="E110" s="17">
        <f>10*('Adjust'!$B270*'Input'!B238+'Adjust'!$C270*'Input'!C238+'Adjust'!$D270*'Input'!D238)</f>
        <v>0</v>
      </c>
      <c r="F110" s="17">
        <f>'Adjust'!E270*'Input'!$F$58*'Input'!$E238/100</f>
        <v>0</v>
      </c>
      <c r="G110" s="17">
        <f>'Adjust'!F270*'Input'!$F$58*'Input'!$F238/100</f>
        <v>0</v>
      </c>
      <c r="H110" s="17">
        <f>'Adjust'!G270*'Input'!$G238*10</f>
        <v>0</v>
      </c>
      <c r="I110" s="6">
        <f>IF(B110&lt;&gt;0,0.1*D110/B110,"")</f>
        <v>0</v>
      </c>
      <c r="J110" s="35">
        <f>IF(C110&lt;&gt;0,D110/C110,"")</f>
        <v>0</v>
      </c>
      <c r="K110" s="6">
        <f>IF(B110&lt;&gt;0,0.1*E110/B110,0)</f>
        <v>0</v>
      </c>
      <c r="L110" s="17">
        <f>'Adjust'!B270*'Input'!$B238*10</f>
        <v>0</v>
      </c>
      <c r="M110" s="17">
        <f>'Adjust'!C270*'Input'!$C238*10</f>
        <v>0</v>
      </c>
      <c r="N110" s="17">
        <f>'Adjust'!D270*'Input'!$D238*10</f>
        <v>0</v>
      </c>
      <c r="O110" s="29">
        <f>IF(E110&lt;&gt;0,$L110/E110,"")</f>
        <v>0</v>
      </c>
      <c r="P110" s="29">
        <f>IF(E110&lt;&gt;0,$M110/E110,"")</f>
        <v>0</v>
      </c>
      <c r="Q110" s="29">
        <f>IF(E110&lt;&gt;0,$N110/E110,"")</f>
        <v>0</v>
      </c>
      <c r="R110" s="29">
        <f>IF(D110&lt;&gt;0,$F110/D110,"")</f>
        <v>0</v>
      </c>
      <c r="S110" s="29">
        <f>IF(D110&lt;&gt;0,$G110/D110,"")</f>
        <v>0</v>
      </c>
      <c r="T110" s="29">
        <f>IF(D110&lt;&gt;0,$H110/D110,"")</f>
        <v>0</v>
      </c>
      <c r="U110" s="10"/>
    </row>
    <row r="111" spans="1:21">
      <c r="A111" s="11" t="s">
        <v>268</v>
      </c>
      <c r="B111" s="17">
        <f>'Input'!B239+'Input'!C239+'Input'!D239</f>
        <v>0</v>
      </c>
      <c r="C111" s="33">
        <f>'Input'!E239</f>
        <v>0</v>
      </c>
      <c r="D111" s="17">
        <f>0.01*'Input'!F$58*('Adjust'!$E271*'Input'!E239+'Adjust'!$F271*'Input'!F239)+10*('Adjust'!$B271*'Input'!B239+'Adjust'!$C271*'Input'!C239+'Adjust'!$D271*'Input'!D239+'Adjust'!$G271*'Input'!G239)</f>
        <v>0</v>
      </c>
      <c r="E111" s="17">
        <f>10*('Adjust'!$B271*'Input'!B239+'Adjust'!$C271*'Input'!C239+'Adjust'!$D271*'Input'!D239)</f>
        <v>0</v>
      </c>
      <c r="F111" s="17">
        <f>'Adjust'!E271*'Input'!$F$58*'Input'!$E239/100</f>
        <v>0</v>
      </c>
      <c r="G111" s="17">
        <f>'Adjust'!F271*'Input'!$F$58*'Input'!$F239/100</f>
        <v>0</v>
      </c>
      <c r="H111" s="17">
        <f>'Adjust'!G271*'Input'!$G239*10</f>
        <v>0</v>
      </c>
      <c r="I111" s="6">
        <f>IF(B111&lt;&gt;0,0.1*D111/B111,"")</f>
        <v>0</v>
      </c>
      <c r="J111" s="35">
        <f>IF(C111&lt;&gt;0,D111/C111,"")</f>
        <v>0</v>
      </c>
      <c r="K111" s="6">
        <f>IF(B111&lt;&gt;0,0.1*E111/B111,0)</f>
        <v>0</v>
      </c>
      <c r="L111" s="17">
        <f>'Adjust'!B271*'Input'!$B239*10</f>
        <v>0</v>
      </c>
      <c r="M111" s="17">
        <f>'Adjust'!C271*'Input'!$C239*10</f>
        <v>0</v>
      </c>
      <c r="N111" s="17">
        <f>'Adjust'!D271*'Input'!$D239*10</f>
        <v>0</v>
      </c>
      <c r="O111" s="29">
        <f>IF(E111&lt;&gt;0,$L111/E111,"")</f>
        <v>0</v>
      </c>
      <c r="P111" s="29">
        <f>IF(E111&lt;&gt;0,$M111/E111,"")</f>
        <v>0</v>
      </c>
      <c r="Q111" s="29">
        <f>IF(E111&lt;&gt;0,$N111/E111,"")</f>
        <v>0</v>
      </c>
      <c r="R111" s="29">
        <f>IF(D111&lt;&gt;0,$F111/D111,"")</f>
        <v>0</v>
      </c>
      <c r="S111" s="29">
        <f>IF(D111&lt;&gt;0,$G111/D111,"")</f>
        <v>0</v>
      </c>
      <c r="T111" s="29">
        <f>IF(D111&lt;&gt;0,$H111/D111,"")</f>
        <v>0</v>
      </c>
      <c r="U111" s="10"/>
    </row>
    <row r="112" spans="1:21">
      <c r="A112" s="22" t="s">
        <v>269</v>
      </c>
      <c r="U112" s="10"/>
    </row>
    <row r="113" spans="1:21">
      <c r="A113" s="11" t="s">
        <v>216</v>
      </c>
      <c r="B113" s="17">
        <f>'Input'!B241+'Input'!C241+'Input'!D241</f>
        <v>0</v>
      </c>
      <c r="C113" s="33">
        <f>'Input'!E241</f>
        <v>0</v>
      </c>
      <c r="D113" s="17">
        <f>0.01*'Input'!F$58*('Adjust'!$E273*'Input'!E241+'Adjust'!$F273*'Input'!F241)+10*('Adjust'!$B273*'Input'!B241+'Adjust'!$C273*'Input'!C241+'Adjust'!$D273*'Input'!D241+'Adjust'!$G273*'Input'!G241)</f>
        <v>0</v>
      </c>
      <c r="E113" s="17">
        <f>10*('Adjust'!$B273*'Input'!B241+'Adjust'!$C273*'Input'!C241+'Adjust'!$D273*'Input'!D241)</f>
        <v>0</v>
      </c>
      <c r="F113" s="17">
        <f>'Adjust'!E273*'Input'!$F$58*'Input'!$E241/100</f>
        <v>0</v>
      </c>
      <c r="G113" s="17">
        <f>'Adjust'!F273*'Input'!$F$58*'Input'!$F241/100</f>
        <v>0</v>
      </c>
      <c r="H113" s="17">
        <f>'Adjust'!G273*'Input'!$G241*10</f>
        <v>0</v>
      </c>
      <c r="I113" s="6">
        <f>IF(B113&lt;&gt;0,0.1*D113/B113,"")</f>
        <v>0</v>
      </c>
      <c r="J113" s="35">
        <f>IF(C113&lt;&gt;0,D113/C113,"")</f>
        <v>0</v>
      </c>
      <c r="K113" s="6">
        <f>IF(B113&lt;&gt;0,0.1*E113/B113,0)</f>
        <v>0</v>
      </c>
      <c r="L113" s="17">
        <f>'Adjust'!B273*'Input'!$B241*10</f>
        <v>0</v>
      </c>
      <c r="M113" s="17">
        <f>'Adjust'!C273*'Input'!$C241*10</f>
        <v>0</v>
      </c>
      <c r="N113" s="17">
        <f>'Adjust'!D273*'Input'!$D241*10</f>
        <v>0</v>
      </c>
      <c r="O113" s="29">
        <f>IF(E113&lt;&gt;0,$L113/E113,"")</f>
        <v>0</v>
      </c>
      <c r="P113" s="29">
        <f>IF(E113&lt;&gt;0,$M113/E113,"")</f>
        <v>0</v>
      </c>
      <c r="Q113" s="29">
        <f>IF(E113&lt;&gt;0,$N113/E113,"")</f>
        <v>0</v>
      </c>
      <c r="R113" s="29">
        <f>IF(D113&lt;&gt;0,$F113/D113,"")</f>
        <v>0</v>
      </c>
      <c r="S113" s="29">
        <f>IF(D113&lt;&gt;0,$G113/D113,"")</f>
        <v>0</v>
      </c>
      <c r="T113" s="29">
        <f>IF(D113&lt;&gt;0,$H113/D113,"")</f>
        <v>0</v>
      </c>
      <c r="U113" s="10"/>
    </row>
    <row r="114" spans="1:21">
      <c r="A114" s="11" t="s">
        <v>270</v>
      </c>
      <c r="B114" s="17">
        <f>'Input'!B242+'Input'!C242+'Input'!D242</f>
        <v>0</v>
      </c>
      <c r="C114" s="33">
        <f>'Input'!E242</f>
        <v>0</v>
      </c>
      <c r="D114" s="17">
        <f>0.01*'Input'!F$58*('Adjust'!$E274*'Input'!E242+'Adjust'!$F274*'Input'!F242)+10*('Adjust'!$B274*'Input'!B242+'Adjust'!$C274*'Input'!C242+'Adjust'!$D274*'Input'!D242+'Adjust'!$G274*'Input'!G242)</f>
        <v>0</v>
      </c>
      <c r="E114" s="17">
        <f>10*('Adjust'!$B274*'Input'!B242+'Adjust'!$C274*'Input'!C242+'Adjust'!$D274*'Input'!D242)</f>
        <v>0</v>
      </c>
      <c r="F114" s="17">
        <f>'Adjust'!E274*'Input'!$F$58*'Input'!$E242/100</f>
        <v>0</v>
      </c>
      <c r="G114" s="17">
        <f>'Adjust'!F274*'Input'!$F$58*'Input'!$F242/100</f>
        <v>0</v>
      </c>
      <c r="H114" s="17">
        <f>'Adjust'!G274*'Input'!$G242*10</f>
        <v>0</v>
      </c>
      <c r="I114" s="6">
        <f>IF(B114&lt;&gt;0,0.1*D114/B114,"")</f>
        <v>0</v>
      </c>
      <c r="J114" s="35">
        <f>IF(C114&lt;&gt;0,D114/C114,"")</f>
        <v>0</v>
      </c>
      <c r="K114" s="6">
        <f>IF(B114&lt;&gt;0,0.1*E114/B114,0)</f>
        <v>0</v>
      </c>
      <c r="L114" s="17">
        <f>'Adjust'!B274*'Input'!$B242*10</f>
        <v>0</v>
      </c>
      <c r="M114" s="17">
        <f>'Adjust'!C274*'Input'!$C242*10</f>
        <v>0</v>
      </c>
      <c r="N114" s="17">
        <f>'Adjust'!D274*'Input'!$D242*10</f>
        <v>0</v>
      </c>
      <c r="O114" s="29">
        <f>IF(E114&lt;&gt;0,$L114/E114,"")</f>
        <v>0</v>
      </c>
      <c r="P114" s="29">
        <f>IF(E114&lt;&gt;0,$M114/E114,"")</f>
        <v>0</v>
      </c>
      <c r="Q114" s="29">
        <f>IF(E114&lt;&gt;0,$N114/E114,"")</f>
        <v>0</v>
      </c>
      <c r="R114" s="29">
        <f>IF(D114&lt;&gt;0,$F114/D114,"")</f>
        <v>0</v>
      </c>
      <c r="S114" s="29">
        <f>IF(D114&lt;&gt;0,$G114/D114,"")</f>
        <v>0</v>
      </c>
      <c r="T114" s="29">
        <f>IF(D114&lt;&gt;0,$H114/D114,"")</f>
        <v>0</v>
      </c>
      <c r="U114" s="10"/>
    </row>
    <row r="115" spans="1:21">
      <c r="A115" s="11" t="s">
        <v>271</v>
      </c>
      <c r="B115" s="17">
        <f>'Input'!B243+'Input'!C243+'Input'!D243</f>
        <v>0</v>
      </c>
      <c r="C115" s="33">
        <f>'Input'!E243</f>
        <v>0</v>
      </c>
      <c r="D115" s="17">
        <f>0.01*'Input'!F$58*('Adjust'!$E275*'Input'!E243+'Adjust'!$F275*'Input'!F243)+10*('Adjust'!$B275*'Input'!B243+'Adjust'!$C275*'Input'!C243+'Adjust'!$D275*'Input'!D243+'Adjust'!$G275*'Input'!G243)</f>
        <v>0</v>
      </c>
      <c r="E115" s="17">
        <f>10*('Adjust'!$B275*'Input'!B243+'Adjust'!$C275*'Input'!C243+'Adjust'!$D275*'Input'!D243)</f>
        <v>0</v>
      </c>
      <c r="F115" s="17">
        <f>'Adjust'!E275*'Input'!$F$58*'Input'!$E243/100</f>
        <v>0</v>
      </c>
      <c r="G115" s="17">
        <f>'Adjust'!F275*'Input'!$F$58*'Input'!$F243/100</f>
        <v>0</v>
      </c>
      <c r="H115" s="17">
        <f>'Adjust'!G275*'Input'!$G243*10</f>
        <v>0</v>
      </c>
      <c r="I115" s="6">
        <f>IF(B115&lt;&gt;0,0.1*D115/B115,"")</f>
        <v>0</v>
      </c>
      <c r="J115" s="35">
        <f>IF(C115&lt;&gt;0,D115/C115,"")</f>
        <v>0</v>
      </c>
      <c r="K115" s="6">
        <f>IF(B115&lt;&gt;0,0.1*E115/B115,0)</f>
        <v>0</v>
      </c>
      <c r="L115" s="17">
        <f>'Adjust'!B275*'Input'!$B243*10</f>
        <v>0</v>
      </c>
      <c r="M115" s="17">
        <f>'Adjust'!C275*'Input'!$C243*10</f>
        <v>0</v>
      </c>
      <c r="N115" s="17">
        <f>'Adjust'!D275*'Input'!$D243*10</f>
        <v>0</v>
      </c>
      <c r="O115" s="29">
        <f>IF(E115&lt;&gt;0,$L115/E115,"")</f>
        <v>0</v>
      </c>
      <c r="P115" s="29">
        <f>IF(E115&lt;&gt;0,$M115/E115,"")</f>
        <v>0</v>
      </c>
      <c r="Q115" s="29">
        <f>IF(E115&lt;&gt;0,$N115/E115,"")</f>
        <v>0</v>
      </c>
      <c r="R115" s="29">
        <f>IF(D115&lt;&gt;0,$F115/D115,"")</f>
        <v>0</v>
      </c>
      <c r="S115" s="29">
        <f>IF(D115&lt;&gt;0,$G115/D115,"")</f>
        <v>0</v>
      </c>
      <c r="T115" s="29">
        <f>IF(D115&lt;&gt;0,$H115/D115,"")</f>
        <v>0</v>
      </c>
      <c r="U115" s="10"/>
    </row>
    <row r="116" spans="1:21">
      <c r="A116" s="22" t="s">
        <v>272</v>
      </c>
      <c r="U116" s="10"/>
    </row>
    <row r="117" spans="1:21">
      <c r="A117" s="11" t="s">
        <v>180</v>
      </c>
      <c r="B117" s="17">
        <f>'Input'!B245+'Input'!C245+'Input'!D245</f>
        <v>0</v>
      </c>
      <c r="C117" s="33">
        <f>'Input'!E245</f>
        <v>0</v>
      </c>
      <c r="D117" s="17">
        <f>0.01*'Input'!F$58*('Adjust'!$E277*'Input'!E245+'Adjust'!$F277*'Input'!F245)+10*('Adjust'!$B277*'Input'!B245+'Adjust'!$C277*'Input'!C245+'Adjust'!$D277*'Input'!D245+'Adjust'!$G277*'Input'!G245)</f>
        <v>0</v>
      </c>
      <c r="E117" s="17">
        <f>10*('Adjust'!$B277*'Input'!B245+'Adjust'!$C277*'Input'!C245+'Adjust'!$D277*'Input'!D245)</f>
        <v>0</v>
      </c>
      <c r="F117" s="17">
        <f>'Adjust'!E277*'Input'!$F$58*'Input'!$E245/100</f>
        <v>0</v>
      </c>
      <c r="G117" s="17">
        <f>'Adjust'!F277*'Input'!$F$58*'Input'!$F245/100</f>
        <v>0</v>
      </c>
      <c r="H117" s="17">
        <f>'Adjust'!G277*'Input'!$G245*10</f>
        <v>0</v>
      </c>
      <c r="I117" s="6">
        <f>IF(B117&lt;&gt;0,0.1*D117/B117,"")</f>
        <v>0</v>
      </c>
      <c r="J117" s="35">
        <f>IF(C117&lt;&gt;0,D117/C117,"")</f>
        <v>0</v>
      </c>
      <c r="K117" s="6">
        <f>IF(B117&lt;&gt;0,0.1*E117/B117,0)</f>
        <v>0</v>
      </c>
      <c r="L117" s="17">
        <f>'Adjust'!B277*'Input'!$B245*10</f>
        <v>0</v>
      </c>
      <c r="M117" s="17">
        <f>'Adjust'!C277*'Input'!$C245*10</f>
        <v>0</v>
      </c>
      <c r="N117" s="17">
        <f>'Adjust'!D277*'Input'!$D245*10</f>
        <v>0</v>
      </c>
      <c r="O117" s="29">
        <f>IF(E117&lt;&gt;0,$L117/E117,"")</f>
        <v>0</v>
      </c>
      <c r="P117" s="29">
        <f>IF(E117&lt;&gt;0,$M117/E117,"")</f>
        <v>0</v>
      </c>
      <c r="Q117" s="29">
        <f>IF(E117&lt;&gt;0,$N117/E117,"")</f>
        <v>0</v>
      </c>
      <c r="R117" s="29">
        <f>IF(D117&lt;&gt;0,$F117/D117,"")</f>
        <v>0</v>
      </c>
      <c r="S117" s="29">
        <f>IF(D117&lt;&gt;0,$G117/D117,"")</f>
        <v>0</v>
      </c>
      <c r="T117" s="29">
        <f>IF(D117&lt;&gt;0,$H117/D117,"")</f>
        <v>0</v>
      </c>
      <c r="U117" s="10"/>
    </row>
    <row r="118" spans="1:21">
      <c r="A118" s="11" t="s">
        <v>273</v>
      </c>
      <c r="B118" s="17">
        <f>'Input'!B246+'Input'!C246+'Input'!D246</f>
        <v>0</v>
      </c>
      <c r="C118" s="33">
        <f>'Input'!E246</f>
        <v>0</v>
      </c>
      <c r="D118" s="17">
        <f>0.01*'Input'!F$58*('Adjust'!$E278*'Input'!E246+'Adjust'!$F278*'Input'!F246)+10*('Adjust'!$B278*'Input'!B246+'Adjust'!$C278*'Input'!C246+'Adjust'!$D278*'Input'!D246+'Adjust'!$G278*'Input'!G246)</f>
        <v>0</v>
      </c>
      <c r="E118" s="17">
        <f>10*('Adjust'!$B278*'Input'!B246+'Adjust'!$C278*'Input'!C246+'Adjust'!$D278*'Input'!D246)</f>
        <v>0</v>
      </c>
      <c r="F118" s="17">
        <f>'Adjust'!E278*'Input'!$F$58*'Input'!$E246/100</f>
        <v>0</v>
      </c>
      <c r="G118" s="17">
        <f>'Adjust'!F278*'Input'!$F$58*'Input'!$F246/100</f>
        <v>0</v>
      </c>
      <c r="H118" s="17">
        <f>'Adjust'!G278*'Input'!$G246*10</f>
        <v>0</v>
      </c>
      <c r="I118" s="6">
        <f>IF(B118&lt;&gt;0,0.1*D118/B118,"")</f>
        <v>0</v>
      </c>
      <c r="J118" s="35">
        <f>IF(C118&lt;&gt;0,D118/C118,"")</f>
        <v>0</v>
      </c>
      <c r="K118" s="6">
        <f>IF(B118&lt;&gt;0,0.1*E118/B118,0)</f>
        <v>0</v>
      </c>
      <c r="L118" s="17">
        <f>'Adjust'!B278*'Input'!$B246*10</f>
        <v>0</v>
      </c>
      <c r="M118" s="17">
        <f>'Adjust'!C278*'Input'!$C246*10</f>
        <v>0</v>
      </c>
      <c r="N118" s="17">
        <f>'Adjust'!D278*'Input'!$D246*10</f>
        <v>0</v>
      </c>
      <c r="O118" s="29">
        <f>IF(E118&lt;&gt;0,$L118/E118,"")</f>
        <v>0</v>
      </c>
      <c r="P118" s="29">
        <f>IF(E118&lt;&gt;0,$M118/E118,"")</f>
        <v>0</v>
      </c>
      <c r="Q118" s="29">
        <f>IF(E118&lt;&gt;0,$N118/E118,"")</f>
        <v>0</v>
      </c>
      <c r="R118" s="29">
        <f>IF(D118&lt;&gt;0,$F118/D118,"")</f>
        <v>0</v>
      </c>
      <c r="S118" s="29">
        <f>IF(D118&lt;&gt;0,$G118/D118,"")</f>
        <v>0</v>
      </c>
      <c r="T118" s="29">
        <f>IF(D118&lt;&gt;0,$H118/D118,"")</f>
        <v>0</v>
      </c>
      <c r="U118" s="10"/>
    </row>
    <row r="119" spans="1:21">
      <c r="A119" s="11" t="s">
        <v>274</v>
      </c>
      <c r="B119" s="17">
        <f>'Input'!B247+'Input'!C247+'Input'!D247</f>
        <v>0</v>
      </c>
      <c r="C119" s="33">
        <f>'Input'!E247</f>
        <v>0</v>
      </c>
      <c r="D119" s="17">
        <f>0.01*'Input'!F$58*('Adjust'!$E279*'Input'!E247+'Adjust'!$F279*'Input'!F247)+10*('Adjust'!$B279*'Input'!B247+'Adjust'!$C279*'Input'!C247+'Adjust'!$D279*'Input'!D247+'Adjust'!$G279*'Input'!G247)</f>
        <v>0</v>
      </c>
      <c r="E119" s="17">
        <f>10*('Adjust'!$B279*'Input'!B247+'Adjust'!$C279*'Input'!C247+'Adjust'!$D279*'Input'!D247)</f>
        <v>0</v>
      </c>
      <c r="F119" s="17">
        <f>'Adjust'!E279*'Input'!$F$58*'Input'!$E247/100</f>
        <v>0</v>
      </c>
      <c r="G119" s="17">
        <f>'Adjust'!F279*'Input'!$F$58*'Input'!$F247/100</f>
        <v>0</v>
      </c>
      <c r="H119" s="17">
        <f>'Adjust'!G279*'Input'!$G247*10</f>
        <v>0</v>
      </c>
      <c r="I119" s="6">
        <f>IF(B119&lt;&gt;0,0.1*D119/B119,"")</f>
        <v>0</v>
      </c>
      <c r="J119" s="35">
        <f>IF(C119&lt;&gt;0,D119/C119,"")</f>
        <v>0</v>
      </c>
      <c r="K119" s="6">
        <f>IF(B119&lt;&gt;0,0.1*E119/B119,0)</f>
        <v>0</v>
      </c>
      <c r="L119" s="17">
        <f>'Adjust'!B279*'Input'!$B247*10</f>
        <v>0</v>
      </c>
      <c r="M119" s="17">
        <f>'Adjust'!C279*'Input'!$C247*10</f>
        <v>0</v>
      </c>
      <c r="N119" s="17">
        <f>'Adjust'!D279*'Input'!$D247*10</f>
        <v>0</v>
      </c>
      <c r="O119" s="29">
        <f>IF(E119&lt;&gt;0,$L119/E119,"")</f>
        <v>0</v>
      </c>
      <c r="P119" s="29">
        <f>IF(E119&lt;&gt;0,$M119/E119,"")</f>
        <v>0</v>
      </c>
      <c r="Q119" s="29">
        <f>IF(E119&lt;&gt;0,$N119/E119,"")</f>
        <v>0</v>
      </c>
      <c r="R119" s="29">
        <f>IF(D119&lt;&gt;0,$F119/D119,"")</f>
        <v>0</v>
      </c>
      <c r="S119" s="29">
        <f>IF(D119&lt;&gt;0,$G119/D119,"")</f>
        <v>0</v>
      </c>
      <c r="T119" s="29">
        <f>IF(D119&lt;&gt;0,$H119/D119,"")</f>
        <v>0</v>
      </c>
      <c r="U119" s="10"/>
    </row>
    <row r="120" spans="1:21">
      <c r="A120" s="22" t="s">
        <v>275</v>
      </c>
      <c r="U120" s="10"/>
    </row>
    <row r="121" spans="1:21">
      <c r="A121" s="11" t="s">
        <v>181</v>
      </c>
      <c r="B121" s="17">
        <f>'Input'!B249+'Input'!C249+'Input'!D249</f>
        <v>0</v>
      </c>
      <c r="C121" s="33">
        <f>'Input'!E249</f>
        <v>0</v>
      </c>
      <c r="D121" s="17">
        <f>0.01*'Input'!F$58*('Adjust'!$E281*'Input'!E249+'Adjust'!$F281*'Input'!F249)+10*('Adjust'!$B281*'Input'!B249+'Adjust'!$C281*'Input'!C249+'Adjust'!$D281*'Input'!D249+'Adjust'!$G281*'Input'!G249)</f>
        <v>0</v>
      </c>
      <c r="E121" s="17">
        <f>10*('Adjust'!$B281*'Input'!B249+'Adjust'!$C281*'Input'!C249+'Adjust'!$D281*'Input'!D249)</f>
        <v>0</v>
      </c>
      <c r="F121" s="17">
        <f>'Adjust'!E281*'Input'!$F$58*'Input'!$E249/100</f>
        <v>0</v>
      </c>
      <c r="G121" s="17">
        <f>'Adjust'!F281*'Input'!$F$58*'Input'!$F249/100</f>
        <v>0</v>
      </c>
      <c r="H121" s="17">
        <f>'Adjust'!G281*'Input'!$G249*10</f>
        <v>0</v>
      </c>
      <c r="I121" s="6">
        <f>IF(B121&lt;&gt;0,0.1*D121/B121,"")</f>
        <v>0</v>
      </c>
      <c r="J121" s="35">
        <f>IF(C121&lt;&gt;0,D121/C121,"")</f>
        <v>0</v>
      </c>
      <c r="K121" s="6">
        <f>IF(B121&lt;&gt;0,0.1*E121/B121,0)</f>
        <v>0</v>
      </c>
      <c r="L121" s="17">
        <f>'Adjust'!B281*'Input'!$B249*10</f>
        <v>0</v>
      </c>
      <c r="M121" s="17">
        <f>'Adjust'!C281*'Input'!$C249*10</f>
        <v>0</v>
      </c>
      <c r="N121" s="17">
        <f>'Adjust'!D281*'Input'!$D249*10</f>
        <v>0</v>
      </c>
      <c r="O121" s="29">
        <f>IF(E121&lt;&gt;0,$L121/E121,"")</f>
        <v>0</v>
      </c>
      <c r="P121" s="29">
        <f>IF(E121&lt;&gt;0,$M121/E121,"")</f>
        <v>0</v>
      </c>
      <c r="Q121" s="29">
        <f>IF(E121&lt;&gt;0,$N121/E121,"")</f>
        <v>0</v>
      </c>
      <c r="R121" s="29">
        <f>IF(D121&lt;&gt;0,$F121/D121,"")</f>
        <v>0</v>
      </c>
      <c r="S121" s="29">
        <f>IF(D121&lt;&gt;0,$G121/D121,"")</f>
        <v>0</v>
      </c>
      <c r="T121" s="29">
        <f>IF(D121&lt;&gt;0,$H121/D121,"")</f>
        <v>0</v>
      </c>
      <c r="U121" s="10"/>
    </row>
    <row r="122" spans="1:21">
      <c r="A122" s="11" t="s">
        <v>276</v>
      </c>
      <c r="B122" s="17">
        <f>'Input'!B250+'Input'!C250+'Input'!D250</f>
        <v>0</v>
      </c>
      <c r="C122" s="33">
        <f>'Input'!E250</f>
        <v>0</v>
      </c>
      <c r="D122" s="17">
        <f>0.01*'Input'!F$58*('Adjust'!$E282*'Input'!E250+'Adjust'!$F282*'Input'!F250)+10*('Adjust'!$B282*'Input'!B250+'Adjust'!$C282*'Input'!C250+'Adjust'!$D282*'Input'!D250+'Adjust'!$G282*'Input'!G250)</f>
        <v>0</v>
      </c>
      <c r="E122" s="17">
        <f>10*('Adjust'!$B282*'Input'!B250+'Adjust'!$C282*'Input'!C250+'Adjust'!$D282*'Input'!D250)</f>
        <v>0</v>
      </c>
      <c r="F122" s="17">
        <f>'Adjust'!E282*'Input'!$F$58*'Input'!$E250/100</f>
        <v>0</v>
      </c>
      <c r="G122" s="17">
        <f>'Adjust'!F282*'Input'!$F$58*'Input'!$F250/100</f>
        <v>0</v>
      </c>
      <c r="H122" s="17">
        <f>'Adjust'!G282*'Input'!$G250*10</f>
        <v>0</v>
      </c>
      <c r="I122" s="6">
        <f>IF(B122&lt;&gt;0,0.1*D122/B122,"")</f>
        <v>0</v>
      </c>
      <c r="J122" s="35">
        <f>IF(C122&lt;&gt;0,D122/C122,"")</f>
        <v>0</v>
      </c>
      <c r="K122" s="6">
        <f>IF(B122&lt;&gt;0,0.1*E122/B122,0)</f>
        <v>0</v>
      </c>
      <c r="L122" s="17">
        <f>'Adjust'!B282*'Input'!$B250*10</f>
        <v>0</v>
      </c>
      <c r="M122" s="17">
        <f>'Adjust'!C282*'Input'!$C250*10</f>
        <v>0</v>
      </c>
      <c r="N122" s="17">
        <f>'Adjust'!D282*'Input'!$D250*10</f>
        <v>0</v>
      </c>
      <c r="O122" s="29">
        <f>IF(E122&lt;&gt;0,$L122/E122,"")</f>
        <v>0</v>
      </c>
      <c r="P122" s="29">
        <f>IF(E122&lt;&gt;0,$M122/E122,"")</f>
        <v>0</v>
      </c>
      <c r="Q122" s="29">
        <f>IF(E122&lt;&gt;0,$N122/E122,"")</f>
        <v>0</v>
      </c>
      <c r="R122" s="29">
        <f>IF(D122&lt;&gt;0,$F122/D122,"")</f>
        <v>0</v>
      </c>
      <c r="S122" s="29">
        <f>IF(D122&lt;&gt;0,$G122/D122,"")</f>
        <v>0</v>
      </c>
      <c r="T122" s="29">
        <f>IF(D122&lt;&gt;0,$H122/D122,"")</f>
        <v>0</v>
      </c>
      <c r="U122" s="10"/>
    </row>
    <row r="123" spans="1:21">
      <c r="A123" s="22" t="s">
        <v>277</v>
      </c>
      <c r="U123" s="10"/>
    </row>
    <row r="124" spans="1:21">
      <c r="A124" s="11" t="s">
        <v>182</v>
      </c>
      <c r="B124" s="17">
        <f>'Input'!B252+'Input'!C252+'Input'!D252</f>
        <v>0</v>
      </c>
      <c r="C124" s="33">
        <f>'Input'!E252</f>
        <v>0</v>
      </c>
      <c r="D124" s="17">
        <f>0.01*'Input'!F$58*('Adjust'!$E284*'Input'!E252+'Adjust'!$F284*'Input'!F252)+10*('Adjust'!$B284*'Input'!B252+'Adjust'!$C284*'Input'!C252+'Adjust'!$D284*'Input'!D252+'Adjust'!$G284*'Input'!G252)</f>
        <v>0</v>
      </c>
      <c r="E124" s="17">
        <f>10*('Adjust'!$B284*'Input'!B252+'Adjust'!$C284*'Input'!C252+'Adjust'!$D284*'Input'!D252)</f>
        <v>0</v>
      </c>
      <c r="F124" s="17">
        <f>'Adjust'!E284*'Input'!$F$58*'Input'!$E252/100</f>
        <v>0</v>
      </c>
      <c r="G124" s="17">
        <f>'Adjust'!F284*'Input'!$F$58*'Input'!$F252/100</f>
        <v>0</v>
      </c>
      <c r="H124" s="17">
        <f>'Adjust'!G284*'Input'!$G252*10</f>
        <v>0</v>
      </c>
      <c r="I124" s="6">
        <f>IF(B124&lt;&gt;0,0.1*D124/B124,"")</f>
        <v>0</v>
      </c>
      <c r="J124" s="35">
        <f>IF(C124&lt;&gt;0,D124/C124,"")</f>
        <v>0</v>
      </c>
      <c r="K124" s="6">
        <f>IF(B124&lt;&gt;0,0.1*E124/B124,0)</f>
        <v>0</v>
      </c>
      <c r="L124" s="17">
        <f>'Adjust'!B284*'Input'!$B252*10</f>
        <v>0</v>
      </c>
      <c r="M124" s="17">
        <f>'Adjust'!C284*'Input'!$C252*10</f>
        <v>0</v>
      </c>
      <c r="N124" s="17">
        <f>'Adjust'!D284*'Input'!$D252*10</f>
        <v>0</v>
      </c>
      <c r="O124" s="29">
        <f>IF(E124&lt;&gt;0,$L124/E124,"")</f>
        <v>0</v>
      </c>
      <c r="P124" s="29">
        <f>IF(E124&lt;&gt;0,$M124/E124,"")</f>
        <v>0</v>
      </c>
      <c r="Q124" s="29">
        <f>IF(E124&lt;&gt;0,$N124/E124,"")</f>
        <v>0</v>
      </c>
      <c r="R124" s="29">
        <f>IF(D124&lt;&gt;0,$F124/D124,"")</f>
        <v>0</v>
      </c>
      <c r="S124" s="29">
        <f>IF(D124&lt;&gt;0,$G124/D124,"")</f>
        <v>0</v>
      </c>
      <c r="T124" s="29">
        <f>IF(D124&lt;&gt;0,$H124/D124,"")</f>
        <v>0</v>
      </c>
      <c r="U124" s="10"/>
    </row>
    <row r="125" spans="1:21">
      <c r="A125" s="11" t="s">
        <v>278</v>
      </c>
      <c r="B125" s="17">
        <f>'Input'!B253+'Input'!C253+'Input'!D253</f>
        <v>0</v>
      </c>
      <c r="C125" s="33">
        <f>'Input'!E253</f>
        <v>0</v>
      </c>
      <c r="D125" s="17">
        <f>0.01*'Input'!F$58*('Adjust'!$E285*'Input'!E253+'Adjust'!$F285*'Input'!F253)+10*('Adjust'!$B285*'Input'!B253+'Adjust'!$C285*'Input'!C253+'Adjust'!$D285*'Input'!D253+'Adjust'!$G285*'Input'!G253)</f>
        <v>0</v>
      </c>
      <c r="E125" s="17">
        <f>10*('Adjust'!$B285*'Input'!B253+'Adjust'!$C285*'Input'!C253+'Adjust'!$D285*'Input'!D253)</f>
        <v>0</v>
      </c>
      <c r="F125" s="17">
        <f>'Adjust'!E285*'Input'!$F$58*'Input'!$E253/100</f>
        <v>0</v>
      </c>
      <c r="G125" s="17">
        <f>'Adjust'!F285*'Input'!$F$58*'Input'!$F253/100</f>
        <v>0</v>
      </c>
      <c r="H125" s="17">
        <f>'Adjust'!G285*'Input'!$G253*10</f>
        <v>0</v>
      </c>
      <c r="I125" s="6">
        <f>IF(B125&lt;&gt;0,0.1*D125/B125,"")</f>
        <v>0</v>
      </c>
      <c r="J125" s="35">
        <f>IF(C125&lt;&gt;0,D125/C125,"")</f>
        <v>0</v>
      </c>
      <c r="K125" s="6">
        <f>IF(B125&lt;&gt;0,0.1*E125/B125,0)</f>
        <v>0</v>
      </c>
      <c r="L125" s="17">
        <f>'Adjust'!B285*'Input'!$B253*10</f>
        <v>0</v>
      </c>
      <c r="M125" s="17">
        <f>'Adjust'!C285*'Input'!$C253*10</f>
        <v>0</v>
      </c>
      <c r="N125" s="17">
        <f>'Adjust'!D285*'Input'!$D253*10</f>
        <v>0</v>
      </c>
      <c r="O125" s="29">
        <f>IF(E125&lt;&gt;0,$L125/E125,"")</f>
        <v>0</v>
      </c>
      <c r="P125" s="29">
        <f>IF(E125&lt;&gt;0,$M125/E125,"")</f>
        <v>0</v>
      </c>
      <c r="Q125" s="29">
        <f>IF(E125&lt;&gt;0,$N125/E125,"")</f>
        <v>0</v>
      </c>
      <c r="R125" s="29">
        <f>IF(D125&lt;&gt;0,$F125/D125,"")</f>
        <v>0</v>
      </c>
      <c r="S125" s="29">
        <f>IF(D125&lt;&gt;0,$G125/D125,"")</f>
        <v>0</v>
      </c>
      <c r="T125" s="29">
        <f>IF(D125&lt;&gt;0,$H125/D125,"")</f>
        <v>0</v>
      </c>
      <c r="U125" s="10"/>
    </row>
    <row r="126" spans="1:21">
      <c r="A126" s="11" t="s">
        <v>279</v>
      </c>
      <c r="B126" s="17">
        <f>'Input'!B254+'Input'!C254+'Input'!D254</f>
        <v>0</v>
      </c>
      <c r="C126" s="33">
        <f>'Input'!E254</f>
        <v>0</v>
      </c>
      <c r="D126" s="17">
        <f>0.01*'Input'!F$58*('Adjust'!$E286*'Input'!E254+'Adjust'!$F286*'Input'!F254)+10*('Adjust'!$B286*'Input'!B254+'Adjust'!$C286*'Input'!C254+'Adjust'!$D286*'Input'!D254+'Adjust'!$G286*'Input'!G254)</f>
        <v>0</v>
      </c>
      <c r="E126" s="17">
        <f>10*('Adjust'!$B286*'Input'!B254+'Adjust'!$C286*'Input'!C254+'Adjust'!$D286*'Input'!D254)</f>
        <v>0</v>
      </c>
      <c r="F126" s="17">
        <f>'Adjust'!E286*'Input'!$F$58*'Input'!$E254/100</f>
        <v>0</v>
      </c>
      <c r="G126" s="17">
        <f>'Adjust'!F286*'Input'!$F$58*'Input'!$F254/100</f>
        <v>0</v>
      </c>
      <c r="H126" s="17">
        <f>'Adjust'!G286*'Input'!$G254*10</f>
        <v>0</v>
      </c>
      <c r="I126" s="6">
        <f>IF(B126&lt;&gt;0,0.1*D126/B126,"")</f>
        <v>0</v>
      </c>
      <c r="J126" s="35">
        <f>IF(C126&lt;&gt;0,D126/C126,"")</f>
        <v>0</v>
      </c>
      <c r="K126" s="6">
        <f>IF(B126&lt;&gt;0,0.1*E126/B126,0)</f>
        <v>0</v>
      </c>
      <c r="L126" s="17">
        <f>'Adjust'!B286*'Input'!$B254*10</f>
        <v>0</v>
      </c>
      <c r="M126" s="17">
        <f>'Adjust'!C286*'Input'!$C254*10</f>
        <v>0</v>
      </c>
      <c r="N126" s="17">
        <f>'Adjust'!D286*'Input'!$D254*10</f>
        <v>0</v>
      </c>
      <c r="O126" s="29">
        <f>IF(E126&lt;&gt;0,$L126/E126,"")</f>
        <v>0</v>
      </c>
      <c r="P126" s="29">
        <f>IF(E126&lt;&gt;0,$M126/E126,"")</f>
        <v>0</v>
      </c>
      <c r="Q126" s="29">
        <f>IF(E126&lt;&gt;0,$N126/E126,"")</f>
        <v>0</v>
      </c>
      <c r="R126" s="29">
        <f>IF(D126&lt;&gt;0,$F126/D126,"")</f>
        <v>0</v>
      </c>
      <c r="S126" s="29">
        <f>IF(D126&lt;&gt;0,$G126/D126,"")</f>
        <v>0</v>
      </c>
      <c r="T126" s="29">
        <f>IF(D126&lt;&gt;0,$H126/D126,"")</f>
        <v>0</v>
      </c>
      <c r="U126" s="10"/>
    </row>
    <row r="127" spans="1:21">
      <c r="A127" s="22" t="s">
        <v>280</v>
      </c>
      <c r="U127" s="10"/>
    </row>
    <row r="128" spans="1:21">
      <c r="A128" s="11" t="s">
        <v>183</v>
      </c>
      <c r="B128" s="17">
        <f>'Input'!B256+'Input'!C256+'Input'!D256</f>
        <v>0</v>
      </c>
      <c r="C128" s="33">
        <f>'Input'!E256</f>
        <v>0</v>
      </c>
      <c r="D128" s="17">
        <f>0.01*'Input'!F$58*('Adjust'!$E288*'Input'!E256+'Adjust'!$F288*'Input'!F256)+10*('Adjust'!$B288*'Input'!B256+'Adjust'!$C288*'Input'!C256+'Adjust'!$D288*'Input'!D256+'Adjust'!$G288*'Input'!G256)</f>
        <v>0</v>
      </c>
      <c r="E128" s="17">
        <f>10*('Adjust'!$B288*'Input'!B256+'Adjust'!$C288*'Input'!C256+'Adjust'!$D288*'Input'!D256)</f>
        <v>0</v>
      </c>
      <c r="F128" s="17">
        <f>'Adjust'!E288*'Input'!$F$58*'Input'!$E256/100</f>
        <v>0</v>
      </c>
      <c r="G128" s="17">
        <f>'Adjust'!F288*'Input'!$F$58*'Input'!$F256/100</f>
        <v>0</v>
      </c>
      <c r="H128" s="17">
        <f>'Adjust'!G288*'Input'!$G256*10</f>
        <v>0</v>
      </c>
      <c r="I128" s="6">
        <f>IF(B128&lt;&gt;0,0.1*D128/B128,"")</f>
        <v>0</v>
      </c>
      <c r="J128" s="35">
        <f>IF(C128&lt;&gt;0,D128/C128,"")</f>
        <v>0</v>
      </c>
      <c r="K128" s="6">
        <f>IF(B128&lt;&gt;0,0.1*E128/B128,0)</f>
        <v>0</v>
      </c>
      <c r="L128" s="17">
        <f>'Adjust'!B288*'Input'!$B256*10</f>
        <v>0</v>
      </c>
      <c r="M128" s="17">
        <f>'Adjust'!C288*'Input'!$C256*10</f>
        <v>0</v>
      </c>
      <c r="N128" s="17">
        <f>'Adjust'!D288*'Input'!$D256*10</f>
        <v>0</v>
      </c>
      <c r="O128" s="29">
        <f>IF(E128&lt;&gt;0,$L128/E128,"")</f>
        <v>0</v>
      </c>
      <c r="P128" s="29">
        <f>IF(E128&lt;&gt;0,$M128/E128,"")</f>
        <v>0</v>
      </c>
      <c r="Q128" s="29">
        <f>IF(E128&lt;&gt;0,$N128/E128,"")</f>
        <v>0</v>
      </c>
      <c r="R128" s="29">
        <f>IF(D128&lt;&gt;0,$F128/D128,"")</f>
        <v>0</v>
      </c>
      <c r="S128" s="29">
        <f>IF(D128&lt;&gt;0,$G128/D128,"")</f>
        <v>0</v>
      </c>
      <c r="T128" s="29">
        <f>IF(D128&lt;&gt;0,$H128/D128,"")</f>
        <v>0</v>
      </c>
      <c r="U128" s="10"/>
    </row>
    <row r="129" spans="1:21">
      <c r="A129" s="11" t="s">
        <v>281</v>
      </c>
      <c r="B129" s="17">
        <f>'Input'!B257+'Input'!C257+'Input'!D257</f>
        <v>0</v>
      </c>
      <c r="C129" s="33">
        <f>'Input'!E257</f>
        <v>0</v>
      </c>
      <c r="D129" s="17">
        <f>0.01*'Input'!F$58*('Adjust'!$E289*'Input'!E257+'Adjust'!$F289*'Input'!F257)+10*('Adjust'!$B289*'Input'!B257+'Adjust'!$C289*'Input'!C257+'Adjust'!$D289*'Input'!D257+'Adjust'!$G289*'Input'!G257)</f>
        <v>0</v>
      </c>
      <c r="E129" s="17">
        <f>10*('Adjust'!$B289*'Input'!B257+'Adjust'!$C289*'Input'!C257+'Adjust'!$D289*'Input'!D257)</f>
        <v>0</v>
      </c>
      <c r="F129" s="17">
        <f>'Adjust'!E289*'Input'!$F$58*'Input'!$E257/100</f>
        <v>0</v>
      </c>
      <c r="G129" s="17">
        <f>'Adjust'!F289*'Input'!$F$58*'Input'!$F257/100</f>
        <v>0</v>
      </c>
      <c r="H129" s="17">
        <f>'Adjust'!G289*'Input'!$G257*10</f>
        <v>0</v>
      </c>
      <c r="I129" s="6">
        <f>IF(B129&lt;&gt;0,0.1*D129/B129,"")</f>
        <v>0</v>
      </c>
      <c r="J129" s="35">
        <f>IF(C129&lt;&gt;0,D129/C129,"")</f>
        <v>0</v>
      </c>
      <c r="K129" s="6">
        <f>IF(B129&lt;&gt;0,0.1*E129/B129,0)</f>
        <v>0</v>
      </c>
      <c r="L129" s="17">
        <f>'Adjust'!B289*'Input'!$B257*10</f>
        <v>0</v>
      </c>
      <c r="M129" s="17">
        <f>'Adjust'!C289*'Input'!$C257*10</f>
        <v>0</v>
      </c>
      <c r="N129" s="17">
        <f>'Adjust'!D289*'Input'!$D257*10</f>
        <v>0</v>
      </c>
      <c r="O129" s="29">
        <f>IF(E129&lt;&gt;0,$L129/E129,"")</f>
        <v>0</v>
      </c>
      <c r="P129" s="29">
        <f>IF(E129&lt;&gt;0,$M129/E129,"")</f>
        <v>0</v>
      </c>
      <c r="Q129" s="29">
        <f>IF(E129&lt;&gt;0,$N129/E129,"")</f>
        <v>0</v>
      </c>
      <c r="R129" s="29">
        <f>IF(D129&lt;&gt;0,$F129/D129,"")</f>
        <v>0</v>
      </c>
      <c r="S129" s="29">
        <f>IF(D129&lt;&gt;0,$G129/D129,"")</f>
        <v>0</v>
      </c>
      <c r="T129" s="29">
        <f>IF(D129&lt;&gt;0,$H129/D129,"")</f>
        <v>0</v>
      </c>
      <c r="U129" s="10"/>
    </row>
    <row r="130" spans="1:21">
      <c r="A130" s="11" t="s">
        <v>282</v>
      </c>
      <c r="B130" s="17">
        <f>'Input'!B258+'Input'!C258+'Input'!D258</f>
        <v>0</v>
      </c>
      <c r="C130" s="33">
        <f>'Input'!E258</f>
        <v>0</v>
      </c>
      <c r="D130" s="17">
        <f>0.01*'Input'!F$58*('Adjust'!$E290*'Input'!E258+'Adjust'!$F290*'Input'!F258)+10*('Adjust'!$B290*'Input'!B258+'Adjust'!$C290*'Input'!C258+'Adjust'!$D290*'Input'!D258+'Adjust'!$G290*'Input'!G258)</f>
        <v>0</v>
      </c>
      <c r="E130" s="17">
        <f>10*('Adjust'!$B290*'Input'!B258+'Adjust'!$C290*'Input'!C258+'Adjust'!$D290*'Input'!D258)</f>
        <v>0</v>
      </c>
      <c r="F130" s="17">
        <f>'Adjust'!E290*'Input'!$F$58*'Input'!$E258/100</f>
        <v>0</v>
      </c>
      <c r="G130" s="17">
        <f>'Adjust'!F290*'Input'!$F$58*'Input'!$F258/100</f>
        <v>0</v>
      </c>
      <c r="H130" s="17">
        <f>'Adjust'!G290*'Input'!$G258*10</f>
        <v>0</v>
      </c>
      <c r="I130" s="6">
        <f>IF(B130&lt;&gt;0,0.1*D130/B130,"")</f>
        <v>0</v>
      </c>
      <c r="J130" s="35">
        <f>IF(C130&lt;&gt;0,D130/C130,"")</f>
        <v>0</v>
      </c>
      <c r="K130" s="6">
        <f>IF(B130&lt;&gt;0,0.1*E130/B130,0)</f>
        <v>0</v>
      </c>
      <c r="L130" s="17">
        <f>'Adjust'!B290*'Input'!$B258*10</f>
        <v>0</v>
      </c>
      <c r="M130" s="17">
        <f>'Adjust'!C290*'Input'!$C258*10</f>
        <v>0</v>
      </c>
      <c r="N130" s="17">
        <f>'Adjust'!D290*'Input'!$D258*10</f>
        <v>0</v>
      </c>
      <c r="O130" s="29">
        <f>IF(E130&lt;&gt;0,$L130/E130,"")</f>
        <v>0</v>
      </c>
      <c r="P130" s="29">
        <f>IF(E130&lt;&gt;0,$M130/E130,"")</f>
        <v>0</v>
      </c>
      <c r="Q130" s="29">
        <f>IF(E130&lt;&gt;0,$N130/E130,"")</f>
        <v>0</v>
      </c>
      <c r="R130" s="29">
        <f>IF(D130&lt;&gt;0,$F130/D130,"")</f>
        <v>0</v>
      </c>
      <c r="S130" s="29">
        <f>IF(D130&lt;&gt;0,$G130/D130,"")</f>
        <v>0</v>
      </c>
      <c r="T130" s="29">
        <f>IF(D130&lt;&gt;0,$H130/D130,"")</f>
        <v>0</v>
      </c>
      <c r="U130" s="10"/>
    </row>
    <row r="131" spans="1:21">
      <c r="A131" s="22" t="s">
        <v>283</v>
      </c>
      <c r="U131" s="10"/>
    </row>
    <row r="132" spans="1:21">
      <c r="A132" s="11" t="s">
        <v>184</v>
      </c>
      <c r="B132" s="17">
        <f>'Input'!B260+'Input'!C260+'Input'!D260</f>
        <v>0</v>
      </c>
      <c r="C132" s="33">
        <f>'Input'!E260</f>
        <v>0</v>
      </c>
      <c r="D132" s="17">
        <f>0.01*'Input'!F$58*('Adjust'!$E292*'Input'!E260+'Adjust'!$F292*'Input'!F260)+10*('Adjust'!$B292*'Input'!B260+'Adjust'!$C292*'Input'!C260+'Adjust'!$D292*'Input'!D260+'Adjust'!$G292*'Input'!G260)</f>
        <v>0</v>
      </c>
      <c r="E132" s="17">
        <f>10*('Adjust'!$B292*'Input'!B260+'Adjust'!$C292*'Input'!C260+'Adjust'!$D292*'Input'!D260)</f>
        <v>0</v>
      </c>
      <c r="F132" s="17">
        <f>'Adjust'!E292*'Input'!$F$58*'Input'!$E260/100</f>
        <v>0</v>
      </c>
      <c r="G132" s="17">
        <f>'Adjust'!F292*'Input'!$F$58*'Input'!$F260/100</f>
        <v>0</v>
      </c>
      <c r="H132" s="17">
        <f>'Adjust'!G292*'Input'!$G260*10</f>
        <v>0</v>
      </c>
      <c r="I132" s="6">
        <f>IF(B132&lt;&gt;0,0.1*D132/B132,"")</f>
        <v>0</v>
      </c>
      <c r="J132" s="35">
        <f>IF(C132&lt;&gt;0,D132/C132,"")</f>
        <v>0</v>
      </c>
      <c r="K132" s="6">
        <f>IF(B132&lt;&gt;0,0.1*E132/B132,0)</f>
        <v>0</v>
      </c>
      <c r="L132" s="17">
        <f>'Adjust'!B292*'Input'!$B260*10</f>
        <v>0</v>
      </c>
      <c r="M132" s="17">
        <f>'Adjust'!C292*'Input'!$C260*10</f>
        <v>0</v>
      </c>
      <c r="N132" s="17">
        <f>'Adjust'!D292*'Input'!$D260*10</f>
        <v>0</v>
      </c>
      <c r="O132" s="29">
        <f>IF(E132&lt;&gt;0,$L132/E132,"")</f>
        <v>0</v>
      </c>
      <c r="P132" s="29">
        <f>IF(E132&lt;&gt;0,$M132/E132,"")</f>
        <v>0</v>
      </c>
      <c r="Q132" s="29">
        <f>IF(E132&lt;&gt;0,$N132/E132,"")</f>
        <v>0</v>
      </c>
      <c r="R132" s="29">
        <f>IF(D132&lt;&gt;0,$F132/D132,"")</f>
        <v>0</v>
      </c>
      <c r="S132" s="29">
        <f>IF(D132&lt;&gt;0,$G132/D132,"")</f>
        <v>0</v>
      </c>
      <c r="T132" s="29">
        <f>IF(D132&lt;&gt;0,$H132/D132,"")</f>
        <v>0</v>
      </c>
      <c r="U132" s="10"/>
    </row>
    <row r="133" spans="1:21">
      <c r="A133" s="11" t="s">
        <v>284</v>
      </c>
      <c r="B133" s="17">
        <f>'Input'!B261+'Input'!C261+'Input'!D261</f>
        <v>0</v>
      </c>
      <c r="C133" s="33">
        <f>'Input'!E261</f>
        <v>0</v>
      </c>
      <c r="D133" s="17">
        <f>0.01*'Input'!F$58*('Adjust'!$E293*'Input'!E261+'Adjust'!$F293*'Input'!F261)+10*('Adjust'!$B293*'Input'!B261+'Adjust'!$C293*'Input'!C261+'Adjust'!$D293*'Input'!D261+'Adjust'!$G293*'Input'!G261)</f>
        <v>0</v>
      </c>
      <c r="E133" s="17">
        <f>10*('Adjust'!$B293*'Input'!B261+'Adjust'!$C293*'Input'!C261+'Adjust'!$D293*'Input'!D261)</f>
        <v>0</v>
      </c>
      <c r="F133" s="17">
        <f>'Adjust'!E293*'Input'!$F$58*'Input'!$E261/100</f>
        <v>0</v>
      </c>
      <c r="G133" s="17">
        <f>'Adjust'!F293*'Input'!$F$58*'Input'!$F261/100</f>
        <v>0</v>
      </c>
      <c r="H133" s="17">
        <f>'Adjust'!G293*'Input'!$G261*10</f>
        <v>0</v>
      </c>
      <c r="I133" s="6">
        <f>IF(B133&lt;&gt;0,0.1*D133/B133,"")</f>
        <v>0</v>
      </c>
      <c r="J133" s="35">
        <f>IF(C133&lt;&gt;0,D133/C133,"")</f>
        <v>0</v>
      </c>
      <c r="K133" s="6">
        <f>IF(B133&lt;&gt;0,0.1*E133/B133,0)</f>
        <v>0</v>
      </c>
      <c r="L133" s="17">
        <f>'Adjust'!B293*'Input'!$B261*10</f>
        <v>0</v>
      </c>
      <c r="M133" s="17">
        <f>'Adjust'!C293*'Input'!$C261*10</f>
        <v>0</v>
      </c>
      <c r="N133" s="17">
        <f>'Adjust'!D293*'Input'!$D261*10</f>
        <v>0</v>
      </c>
      <c r="O133" s="29">
        <f>IF(E133&lt;&gt;0,$L133/E133,"")</f>
        <v>0</v>
      </c>
      <c r="P133" s="29">
        <f>IF(E133&lt;&gt;0,$M133/E133,"")</f>
        <v>0</v>
      </c>
      <c r="Q133" s="29">
        <f>IF(E133&lt;&gt;0,$N133/E133,"")</f>
        <v>0</v>
      </c>
      <c r="R133" s="29">
        <f>IF(D133&lt;&gt;0,$F133/D133,"")</f>
        <v>0</v>
      </c>
      <c r="S133" s="29">
        <f>IF(D133&lt;&gt;0,$G133/D133,"")</f>
        <v>0</v>
      </c>
      <c r="T133" s="29">
        <f>IF(D133&lt;&gt;0,$H133/D133,"")</f>
        <v>0</v>
      </c>
      <c r="U133" s="10"/>
    </row>
    <row r="134" spans="1:21">
      <c r="A134" s="22" t="s">
        <v>285</v>
      </c>
      <c r="U134" s="10"/>
    </row>
    <row r="135" spans="1:21">
      <c r="A135" s="11" t="s">
        <v>185</v>
      </c>
      <c r="B135" s="17">
        <f>'Input'!B263+'Input'!C263+'Input'!D263</f>
        <v>0</v>
      </c>
      <c r="C135" s="33">
        <f>'Input'!E263</f>
        <v>0</v>
      </c>
      <c r="D135" s="17">
        <f>0.01*'Input'!F$58*('Adjust'!$E295*'Input'!E263+'Adjust'!$F295*'Input'!F263)+10*('Adjust'!$B295*'Input'!B263+'Adjust'!$C295*'Input'!C263+'Adjust'!$D295*'Input'!D263+'Adjust'!$G295*'Input'!G263)</f>
        <v>0</v>
      </c>
      <c r="E135" s="17">
        <f>10*('Adjust'!$B295*'Input'!B263+'Adjust'!$C295*'Input'!C263+'Adjust'!$D295*'Input'!D263)</f>
        <v>0</v>
      </c>
      <c r="F135" s="17">
        <f>'Adjust'!E295*'Input'!$F$58*'Input'!$E263/100</f>
        <v>0</v>
      </c>
      <c r="G135" s="17">
        <f>'Adjust'!F295*'Input'!$F$58*'Input'!$F263/100</f>
        <v>0</v>
      </c>
      <c r="H135" s="17">
        <f>'Adjust'!G295*'Input'!$G263*10</f>
        <v>0</v>
      </c>
      <c r="I135" s="6">
        <f>IF(B135&lt;&gt;0,0.1*D135/B135,"")</f>
        <v>0</v>
      </c>
      <c r="J135" s="35">
        <f>IF(C135&lt;&gt;0,D135/C135,"")</f>
        <v>0</v>
      </c>
      <c r="K135" s="6">
        <f>IF(B135&lt;&gt;0,0.1*E135/B135,0)</f>
        <v>0</v>
      </c>
      <c r="L135" s="17">
        <f>'Adjust'!B295*'Input'!$B263*10</f>
        <v>0</v>
      </c>
      <c r="M135" s="17">
        <f>'Adjust'!C295*'Input'!$C263*10</f>
        <v>0</v>
      </c>
      <c r="N135" s="17">
        <f>'Adjust'!D295*'Input'!$D263*10</f>
        <v>0</v>
      </c>
      <c r="O135" s="29">
        <f>IF(E135&lt;&gt;0,$L135/E135,"")</f>
        <v>0</v>
      </c>
      <c r="P135" s="29">
        <f>IF(E135&lt;&gt;0,$M135/E135,"")</f>
        <v>0</v>
      </c>
      <c r="Q135" s="29">
        <f>IF(E135&lt;&gt;0,$N135/E135,"")</f>
        <v>0</v>
      </c>
      <c r="R135" s="29">
        <f>IF(D135&lt;&gt;0,$F135/D135,"")</f>
        <v>0</v>
      </c>
      <c r="S135" s="29">
        <f>IF(D135&lt;&gt;0,$G135/D135,"")</f>
        <v>0</v>
      </c>
      <c r="T135" s="29">
        <f>IF(D135&lt;&gt;0,$H135/D135,"")</f>
        <v>0</v>
      </c>
      <c r="U135" s="10"/>
    </row>
    <row r="136" spans="1:21">
      <c r="A136" s="11" t="s">
        <v>286</v>
      </c>
      <c r="B136" s="17">
        <f>'Input'!B264+'Input'!C264+'Input'!D264</f>
        <v>0</v>
      </c>
      <c r="C136" s="33">
        <f>'Input'!E264</f>
        <v>0</v>
      </c>
      <c r="D136" s="17">
        <f>0.01*'Input'!F$58*('Adjust'!$E296*'Input'!E264+'Adjust'!$F296*'Input'!F264)+10*('Adjust'!$B296*'Input'!B264+'Adjust'!$C296*'Input'!C264+'Adjust'!$D296*'Input'!D264+'Adjust'!$G296*'Input'!G264)</f>
        <v>0</v>
      </c>
      <c r="E136" s="17">
        <f>10*('Adjust'!$B296*'Input'!B264+'Adjust'!$C296*'Input'!C264+'Adjust'!$D296*'Input'!D264)</f>
        <v>0</v>
      </c>
      <c r="F136" s="17">
        <f>'Adjust'!E296*'Input'!$F$58*'Input'!$E264/100</f>
        <v>0</v>
      </c>
      <c r="G136" s="17">
        <f>'Adjust'!F296*'Input'!$F$58*'Input'!$F264/100</f>
        <v>0</v>
      </c>
      <c r="H136" s="17">
        <f>'Adjust'!G296*'Input'!$G264*10</f>
        <v>0</v>
      </c>
      <c r="I136" s="6">
        <f>IF(B136&lt;&gt;0,0.1*D136/B136,"")</f>
        <v>0</v>
      </c>
      <c r="J136" s="35">
        <f>IF(C136&lt;&gt;0,D136/C136,"")</f>
        <v>0</v>
      </c>
      <c r="K136" s="6">
        <f>IF(B136&lt;&gt;0,0.1*E136/B136,0)</f>
        <v>0</v>
      </c>
      <c r="L136" s="17">
        <f>'Adjust'!B296*'Input'!$B264*10</f>
        <v>0</v>
      </c>
      <c r="M136" s="17">
        <f>'Adjust'!C296*'Input'!$C264*10</f>
        <v>0</v>
      </c>
      <c r="N136" s="17">
        <f>'Adjust'!D296*'Input'!$D264*10</f>
        <v>0</v>
      </c>
      <c r="O136" s="29">
        <f>IF(E136&lt;&gt;0,$L136/E136,"")</f>
        <v>0</v>
      </c>
      <c r="P136" s="29">
        <f>IF(E136&lt;&gt;0,$M136/E136,"")</f>
        <v>0</v>
      </c>
      <c r="Q136" s="29">
        <f>IF(E136&lt;&gt;0,$N136/E136,"")</f>
        <v>0</v>
      </c>
      <c r="R136" s="29">
        <f>IF(D136&lt;&gt;0,$F136/D136,"")</f>
        <v>0</v>
      </c>
      <c r="S136" s="29">
        <f>IF(D136&lt;&gt;0,$G136/D136,"")</f>
        <v>0</v>
      </c>
      <c r="T136" s="29">
        <f>IF(D136&lt;&gt;0,$H136/D136,"")</f>
        <v>0</v>
      </c>
      <c r="U136" s="10"/>
    </row>
    <row r="137" spans="1:21">
      <c r="A137" s="22" t="s">
        <v>287</v>
      </c>
      <c r="U137" s="10"/>
    </row>
    <row r="138" spans="1:21">
      <c r="A138" s="11" t="s">
        <v>193</v>
      </c>
      <c r="B138" s="17">
        <f>'Input'!B266+'Input'!C266+'Input'!D266</f>
        <v>0</v>
      </c>
      <c r="C138" s="33">
        <f>'Input'!E266</f>
        <v>0</v>
      </c>
      <c r="D138" s="17">
        <f>0.01*'Input'!F$58*('Adjust'!$E298*'Input'!E266+'Adjust'!$F298*'Input'!F266)+10*('Adjust'!$B298*'Input'!B266+'Adjust'!$C298*'Input'!C266+'Adjust'!$D298*'Input'!D266+'Adjust'!$G298*'Input'!G266)</f>
        <v>0</v>
      </c>
      <c r="E138" s="17">
        <f>10*('Adjust'!$B298*'Input'!B266+'Adjust'!$C298*'Input'!C266+'Adjust'!$D298*'Input'!D266)</f>
        <v>0</v>
      </c>
      <c r="F138" s="17">
        <f>'Adjust'!E298*'Input'!$F$58*'Input'!$E266/100</f>
        <v>0</v>
      </c>
      <c r="G138" s="17">
        <f>'Adjust'!F298*'Input'!$F$58*'Input'!$F266/100</f>
        <v>0</v>
      </c>
      <c r="H138" s="17">
        <f>'Adjust'!G298*'Input'!$G266*10</f>
        <v>0</v>
      </c>
      <c r="I138" s="6">
        <f>IF(B138&lt;&gt;0,0.1*D138/B138,"")</f>
        <v>0</v>
      </c>
      <c r="J138" s="35">
        <f>IF(C138&lt;&gt;0,D138/C138,"")</f>
        <v>0</v>
      </c>
      <c r="K138" s="6">
        <f>IF(B138&lt;&gt;0,0.1*E138/B138,0)</f>
        <v>0</v>
      </c>
      <c r="L138" s="17">
        <f>'Adjust'!B298*'Input'!$B266*10</f>
        <v>0</v>
      </c>
      <c r="M138" s="17">
        <f>'Adjust'!C298*'Input'!$C266*10</f>
        <v>0</v>
      </c>
      <c r="N138" s="17">
        <f>'Adjust'!D298*'Input'!$D266*10</f>
        <v>0</v>
      </c>
      <c r="O138" s="29">
        <f>IF(E138&lt;&gt;0,$L138/E138,"")</f>
        <v>0</v>
      </c>
      <c r="P138" s="29">
        <f>IF(E138&lt;&gt;0,$M138/E138,"")</f>
        <v>0</v>
      </c>
      <c r="Q138" s="29">
        <f>IF(E138&lt;&gt;0,$N138/E138,"")</f>
        <v>0</v>
      </c>
      <c r="R138" s="29">
        <f>IF(D138&lt;&gt;0,$F138/D138,"")</f>
        <v>0</v>
      </c>
      <c r="S138" s="29">
        <f>IF(D138&lt;&gt;0,$G138/D138,"")</f>
        <v>0</v>
      </c>
      <c r="T138" s="29">
        <f>IF(D138&lt;&gt;0,$H138/D138,"")</f>
        <v>0</v>
      </c>
      <c r="U138" s="10"/>
    </row>
    <row r="139" spans="1:21">
      <c r="A139" s="11" t="s">
        <v>288</v>
      </c>
      <c r="B139" s="17">
        <f>'Input'!B267+'Input'!C267+'Input'!D267</f>
        <v>0</v>
      </c>
      <c r="C139" s="33">
        <f>'Input'!E267</f>
        <v>0</v>
      </c>
      <c r="D139" s="17">
        <f>0.01*'Input'!F$58*('Adjust'!$E299*'Input'!E267+'Adjust'!$F299*'Input'!F267)+10*('Adjust'!$B299*'Input'!B267+'Adjust'!$C299*'Input'!C267+'Adjust'!$D299*'Input'!D267+'Adjust'!$G299*'Input'!G267)</f>
        <v>0</v>
      </c>
      <c r="E139" s="17">
        <f>10*('Adjust'!$B299*'Input'!B267+'Adjust'!$C299*'Input'!C267+'Adjust'!$D299*'Input'!D267)</f>
        <v>0</v>
      </c>
      <c r="F139" s="17">
        <f>'Adjust'!E299*'Input'!$F$58*'Input'!$E267/100</f>
        <v>0</v>
      </c>
      <c r="G139" s="17">
        <f>'Adjust'!F299*'Input'!$F$58*'Input'!$F267/100</f>
        <v>0</v>
      </c>
      <c r="H139" s="17">
        <f>'Adjust'!G299*'Input'!$G267*10</f>
        <v>0</v>
      </c>
      <c r="I139" s="6">
        <f>IF(B139&lt;&gt;0,0.1*D139/B139,"")</f>
        <v>0</v>
      </c>
      <c r="J139" s="35">
        <f>IF(C139&lt;&gt;0,D139/C139,"")</f>
        <v>0</v>
      </c>
      <c r="K139" s="6">
        <f>IF(B139&lt;&gt;0,0.1*E139/B139,0)</f>
        <v>0</v>
      </c>
      <c r="L139" s="17">
        <f>'Adjust'!B299*'Input'!$B267*10</f>
        <v>0</v>
      </c>
      <c r="M139" s="17">
        <f>'Adjust'!C299*'Input'!$C267*10</f>
        <v>0</v>
      </c>
      <c r="N139" s="17">
        <f>'Adjust'!D299*'Input'!$D267*10</f>
        <v>0</v>
      </c>
      <c r="O139" s="29">
        <f>IF(E139&lt;&gt;0,$L139/E139,"")</f>
        <v>0</v>
      </c>
      <c r="P139" s="29">
        <f>IF(E139&lt;&gt;0,$M139/E139,"")</f>
        <v>0</v>
      </c>
      <c r="Q139" s="29">
        <f>IF(E139&lt;&gt;0,$N139/E139,"")</f>
        <v>0</v>
      </c>
      <c r="R139" s="29">
        <f>IF(D139&lt;&gt;0,$F139/D139,"")</f>
        <v>0</v>
      </c>
      <c r="S139" s="29">
        <f>IF(D139&lt;&gt;0,$G139/D139,"")</f>
        <v>0</v>
      </c>
      <c r="T139" s="29">
        <f>IF(D139&lt;&gt;0,$H139/D139,"")</f>
        <v>0</v>
      </c>
      <c r="U139" s="10"/>
    </row>
    <row r="140" spans="1:21">
      <c r="A140" s="22" t="s">
        <v>289</v>
      </c>
      <c r="U140" s="10"/>
    </row>
    <row r="141" spans="1:21">
      <c r="A141" s="11" t="s">
        <v>194</v>
      </c>
      <c r="B141" s="17">
        <f>'Input'!B269+'Input'!C269+'Input'!D269</f>
        <v>0</v>
      </c>
      <c r="C141" s="33">
        <f>'Input'!E269</f>
        <v>0</v>
      </c>
      <c r="D141" s="17">
        <f>0.01*'Input'!F$58*('Adjust'!$E301*'Input'!E269+'Adjust'!$F301*'Input'!F269)+10*('Adjust'!$B301*'Input'!B269+'Adjust'!$C301*'Input'!C269+'Adjust'!$D301*'Input'!D269+'Adjust'!$G301*'Input'!G269)</f>
        <v>0</v>
      </c>
      <c r="E141" s="17">
        <f>10*('Adjust'!$B301*'Input'!B269+'Adjust'!$C301*'Input'!C269+'Adjust'!$D301*'Input'!D269)</f>
        <v>0</v>
      </c>
      <c r="F141" s="17">
        <f>'Adjust'!E301*'Input'!$F$58*'Input'!$E269/100</f>
        <v>0</v>
      </c>
      <c r="G141" s="17">
        <f>'Adjust'!F301*'Input'!$F$58*'Input'!$F269/100</f>
        <v>0</v>
      </c>
      <c r="H141" s="17">
        <f>'Adjust'!G301*'Input'!$G269*10</f>
        <v>0</v>
      </c>
      <c r="I141" s="6">
        <f>IF(B141&lt;&gt;0,0.1*D141/B141,"")</f>
        <v>0</v>
      </c>
      <c r="J141" s="35">
        <f>IF(C141&lt;&gt;0,D141/C141,"")</f>
        <v>0</v>
      </c>
      <c r="K141" s="6">
        <f>IF(B141&lt;&gt;0,0.1*E141/B141,0)</f>
        <v>0</v>
      </c>
      <c r="L141" s="17">
        <f>'Adjust'!B301*'Input'!$B269*10</f>
        <v>0</v>
      </c>
      <c r="M141" s="17">
        <f>'Adjust'!C301*'Input'!$C269*10</f>
        <v>0</v>
      </c>
      <c r="N141" s="17">
        <f>'Adjust'!D301*'Input'!$D269*10</f>
        <v>0</v>
      </c>
      <c r="O141" s="29">
        <f>IF(E141&lt;&gt;0,$L141/E141,"")</f>
        <v>0</v>
      </c>
      <c r="P141" s="29">
        <f>IF(E141&lt;&gt;0,$M141/E141,"")</f>
        <v>0</v>
      </c>
      <c r="Q141" s="29">
        <f>IF(E141&lt;&gt;0,$N141/E141,"")</f>
        <v>0</v>
      </c>
      <c r="R141" s="29">
        <f>IF(D141&lt;&gt;0,$F141/D141,"")</f>
        <v>0</v>
      </c>
      <c r="S141" s="29">
        <f>IF(D141&lt;&gt;0,$G141/D141,"")</f>
        <v>0</v>
      </c>
      <c r="T141" s="29">
        <f>IF(D141&lt;&gt;0,$H141/D141,"")</f>
        <v>0</v>
      </c>
      <c r="U141" s="10"/>
    </row>
    <row r="142" spans="1:21">
      <c r="A142" s="11" t="s">
        <v>290</v>
      </c>
      <c r="B142" s="17">
        <f>'Input'!B270+'Input'!C270+'Input'!D270</f>
        <v>0</v>
      </c>
      <c r="C142" s="33">
        <f>'Input'!E270</f>
        <v>0</v>
      </c>
      <c r="D142" s="17">
        <f>0.01*'Input'!F$58*('Adjust'!$E302*'Input'!E270+'Adjust'!$F302*'Input'!F270)+10*('Adjust'!$B302*'Input'!B270+'Adjust'!$C302*'Input'!C270+'Adjust'!$D302*'Input'!D270+'Adjust'!$G302*'Input'!G270)</f>
        <v>0</v>
      </c>
      <c r="E142" s="17">
        <f>10*('Adjust'!$B302*'Input'!B270+'Adjust'!$C302*'Input'!C270+'Adjust'!$D302*'Input'!D270)</f>
        <v>0</v>
      </c>
      <c r="F142" s="17">
        <f>'Adjust'!E302*'Input'!$F$58*'Input'!$E270/100</f>
        <v>0</v>
      </c>
      <c r="G142" s="17">
        <f>'Adjust'!F302*'Input'!$F$58*'Input'!$F270/100</f>
        <v>0</v>
      </c>
      <c r="H142" s="17">
        <f>'Adjust'!G302*'Input'!$G270*10</f>
        <v>0</v>
      </c>
      <c r="I142" s="6">
        <f>IF(B142&lt;&gt;0,0.1*D142/B142,"")</f>
        <v>0</v>
      </c>
      <c r="J142" s="35">
        <f>IF(C142&lt;&gt;0,D142/C142,"")</f>
        <v>0</v>
      </c>
      <c r="K142" s="6">
        <f>IF(B142&lt;&gt;0,0.1*E142/B142,0)</f>
        <v>0</v>
      </c>
      <c r="L142" s="17">
        <f>'Adjust'!B302*'Input'!$B270*10</f>
        <v>0</v>
      </c>
      <c r="M142" s="17">
        <f>'Adjust'!C302*'Input'!$C270*10</f>
        <v>0</v>
      </c>
      <c r="N142" s="17">
        <f>'Adjust'!D302*'Input'!$D270*10</f>
        <v>0</v>
      </c>
      <c r="O142" s="29">
        <f>IF(E142&lt;&gt;0,$L142/E142,"")</f>
        <v>0</v>
      </c>
      <c r="P142" s="29">
        <f>IF(E142&lt;&gt;0,$M142/E142,"")</f>
        <v>0</v>
      </c>
      <c r="Q142" s="29">
        <f>IF(E142&lt;&gt;0,$N142/E142,"")</f>
        <v>0</v>
      </c>
      <c r="R142" s="29">
        <f>IF(D142&lt;&gt;0,$F142/D142,"")</f>
        <v>0</v>
      </c>
      <c r="S142" s="29">
        <f>IF(D142&lt;&gt;0,$G142/D142,"")</f>
        <v>0</v>
      </c>
      <c r="T142" s="29">
        <f>IF(D142&lt;&gt;0,$H142/D142,"")</f>
        <v>0</v>
      </c>
      <c r="U142" s="10"/>
    </row>
    <row r="144" spans="1:21">
      <c r="A144" s="1" t="s">
        <v>1577</v>
      </c>
    </row>
    <row r="145" spans="1:9">
      <c r="A145" s="2" t="s">
        <v>349</v>
      </c>
    </row>
    <row r="146" spans="1:9">
      <c r="A146" s="12" t="s">
        <v>1578</v>
      </c>
    </row>
    <row r="147" spans="1:9">
      <c r="A147" s="12" t="s">
        <v>1579</v>
      </c>
    </row>
    <row r="148" spans="1:9">
      <c r="A148" s="12" t="s">
        <v>1580</v>
      </c>
    </row>
    <row r="149" spans="1:9">
      <c r="A149" s="12" t="s">
        <v>1581</v>
      </c>
    </row>
    <row r="150" spans="1:9">
      <c r="A150" s="12" t="s">
        <v>1582</v>
      </c>
    </row>
    <row r="151" spans="1:9">
      <c r="A151" s="12" t="s">
        <v>1583</v>
      </c>
    </row>
    <row r="152" spans="1:9">
      <c r="A152" s="12" t="s">
        <v>1584</v>
      </c>
    </row>
    <row r="153" spans="1:9">
      <c r="A153" s="26" t="s">
        <v>352</v>
      </c>
      <c r="B153" s="26" t="s">
        <v>483</v>
      </c>
      <c r="C153" s="26" t="s">
        <v>483</v>
      </c>
      <c r="D153" s="26" t="s">
        <v>483</v>
      </c>
      <c r="E153" s="26" t="s">
        <v>483</v>
      </c>
      <c r="F153" s="26" t="s">
        <v>483</v>
      </c>
      <c r="G153" s="26" t="s">
        <v>483</v>
      </c>
      <c r="H153" s="26" t="s">
        <v>483</v>
      </c>
    </row>
    <row r="154" spans="1:9">
      <c r="A154" s="26" t="s">
        <v>355</v>
      </c>
      <c r="B154" s="26" t="s">
        <v>533</v>
      </c>
      <c r="C154" s="26" t="s">
        <v>534</v>
      </c>
      <c r="D154" s="26" t="s">
        <v>535</v>
      </c>
      <c r="E154" s="26" t="s">
        <v>536</v>
      </c>
      <c r="F154" s="26" t="s">
        <v>485</v>
      </c>
      <c r="G154" s="26" t="s">
        <v>537</v>
      </c>
      <c r="H154" s="26" t="s">
        <v>1585</v>
      </c>
    </row>
    <row r="156" spans="1:9">
      <c r="B156" s="3" t="s">
        <v>1586</v>
      </c>
      <c r="C156" s="3" t="s">
        <v>1587</v>
      </c>
      <c r="D156" s="3" t="s">
        <v>1469</v>
      </c>
      <c r="E156" s="3" t="s">
        <v>1588</v>
      </c>
      <c r="F156" s="3" t="s">
        <v>1589</v>
      </c>
      <c r="G156" s="3" t="s">
        <v>1590</v>
      </c>
      <c r="H156" s="3" t="s">
        <v>1591</v>
      </c>
    </row>
    <row r="157" spans="1:9">
      <c r="A157" s="11" t="s">
        <v>1592</v>
      </c>
      <c r="B157" s="17">
        <f>SUM(B$54:B$142)</f>
        <v>0</v>
      </c>
      <c r="C157" s="17">
        <f>SUM(C$54:C$142)</f>
        <v>0</v>
      </c>
      <c r="D157" s="17">
        <f>SUM(D$54:D$142)</f>
        <v>0</v>
      </c>
      <c r="E157" s="17">
        <f>SUM(E$54:E$142)</f>
        <v>0</v>
      </c>
      <c r="F157" s="17">
        <f>SUM($F$54:$F$142)</f>
        <v>0</v>
      </c>
      <c r="G157" s="17">
        <f>SUM($G$54:$G$142)</f>
        <v>0</v>
      </c>
      <c r="H157" s="17">
        <f>SUM($H$54:$H$142)</f>
        <v>0</v>
      </c>
      <c r="I157" s="10"/>
    </row>
  </sheetData>
  <sheetProtection sheet="1" objects="1" scenarios="1"/>
  <hyperlinks>
    <hyperlink ref="A14" location="'Input'!D57" display="x1 = 1010. Annuity proportion for customer-contributed assets (in Financial and general assumptions)"/>
    <hyperlink ref="A15" location="'Adjust'!C197" display="x2 = 3606. Total net revenues from adder (£/year) (in Revenue forecast summary)"/>
    <hyperlink ref="A16" location="'Adjust'!F197" display="x3 = 3606. Deviation from target revenue (£) (in Revenue forecast summary)"/>
    <hyperlink ref="A17" location="'Summary'!D22" display="x4 = Deviation from target revenue (£) (in Revenue forecast summary) (copy) (in Workbook build options and main parameters)"/>
    <hyperlink ref="A18" location="'Revenue'!B52" display="x5 = 3402. Target CDCM revenue (£/year)"/>
    <hyperlink ref="A27" location="'Input'!B181" display="x1 = 1053. Rate 1 units (MWh) by tariff (in Volume forecasts for the charging year)"/>
    <hyperlink ref="A28" location="'Input'!C181" display="x2 = 1053. Rate 2 units (MWh) by tariff (in Volume forecasts for the charging year)"/>
    <hyperlink ref="A29" location="'Input'!D181" display="x3 = 1053. Rate 3 units (MWh) by tariff (in Volume forecasts for the charging year)"/>
    <hyperlink ref="A30" location="'Input'!E181" display="x4 = 1053. MPANs by tariff (in Volume forecasts for the charging year)"/>
    <hyperlink ref="A31" location="'Input'!F57" display="x5 = 1010. Days in the charging year (in Financial and general assumptions)"/>
    <hyperlink ref="A32" location="'Adjust'!E213" display="x6 = 3607. Fixed charge p/MPAN/day (in Tariffs)"/>
    <hyperlink ref="A33" location="'Adjust'!F213" display="x7 = 3607. Capacity charge p/kVA/day (in Tariffs)"/>
    <hyperlink ref="A34" location="'Input'!F181" display="x8 = 1053. Import capacity (kVA) by tariff (in Volume forecasts for the charging year)"/>
    <hyperlink ref="A35" location="'Adjust'!B213" display="x9 = 3607. Unit rate 1 p/kWh (in Tariffs)"/>
    <hyperlink ref="A36" location="'Adjust'!C213" display="x10 = 3607. Unit rate 2 p/kWh (in Tariffs)"/>
    <hyperlink ref="A37" location="'Adjust'!D213" display="x11 = 3607. Unit rate 3 p/kWh (in Tariffs)"/>
    <hyperlink ref="A38" location="'Adjust'!G213" display="x12 = 3607. Reactive power charge p/kVArh (in Tariffs)"/>
    <hyperlink ref="A39" location="'Input'!G181" display="x13 = 1053. Reactive power units (MVArh) by tariff (in Volume forecasts for the charging year)"/>
    <hyperlink ref="A40" location="'Summary'!B53" display="x14 = All units (MWh) (in Revenue summary)"/>
    <hyperlink ref="A41" location="'Summary'!D53" display="x15 = Net revenues (£) (in Revenue summary)"/>
    <hyperlink ref="A42" location="'Summary'!C53" display="x16 = MPANs by tariff (in Volume forecasts for the charging year) (copy) (in Revenue summary)"/>
    <hyperlink ref="A43" location="'Summary'!E53" display="x17 = Revenues from unit rates (£) (in Revenue summary)"/>
    <hyperlink ref="A44" location="'Summary'!L53" display="x18 = Net revenues from unit rate 1 (£) (in Revenue summary)"/>
    <hyperlink ref="A45" location="'Summary'!M53" display="x19 = Net revenues from unit rate 2 (£) (in Revenue summary)"/>
    <hyperlink ref="A46" location="'Summary'!N53" display="x20 = Net revenues from unit rate 3 (£) (in Revenue summary)"/>
    <hyperlink ref="A47" location="'Summary'!F53" display="x21 = Revenues from fixed charges (£) (in Revenue summary)"/>
    <hyperlink ref="A48" location="'Summary'!G53" display="x22 = Revenues from capacity charges (£) (in Revenue summary)"/>
    <hyperlink ref="A49" location="'Summary'!H53" display="x23 = Revenues from reactive power charges (£) (in Revenue summary)"/>
    <hyperlink ref="A146" location="'Summary'!B53" display="x1 = 3802. All units (MWh) (in Revenue summary)"/>
    <hyperlink ref="A147" location="'Summary'!C53" display="x2 = 3802. MPANs by tariff (in Volume forecasts for the charging year) (copy) (in Revenue summary)"/>
    <hyperlink ref="A148" location="'Summary'!D53" display="x3 = 3802. Net revenues (£) (in Revenue summary)"/>
    <hyperlink ref="A149" location="'Summary'!E53" display="x4 = 3802. Revenues from unit rates (£) (in Revenue summary)"/>
    <hyperlink ref="A150" location="'Summary'!F53" display="x5 = 3802. Revenues from fixed charges (£) (in Revenue summary)"/>
    <hyperlink ref="A151" location="'Summary'!G53" display="x6 = 3802. Revenues from capacity charges (£) (in Revenue summary)"/>
    <hyperlink ref="A152" location="'Summary'!H53" display="x7 = 3802. Revenues from reactive power charges (£) (in Revenue summary)"/>
  </hyperlinks>
  <pageMargins left="0.7" right="0.7" top="0.75" bottom="0.75" header="0.3" footer="0.3"/>
  <pageSetup orientation="landscape"/>
  <headerFooter>
    <oddHeader>&amp;L&amp;A&amp;Cr6432&amp;R&amp;P of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1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0.7109375" customWidth="1"/>
    <col min="2" max="251" width="20.7109375" customWidth="1"/>
  </cols>
  <sheetData>
    <row r="1" spans="1:1">
      <c r="A1" s="1">
        <f>"Tariff matrices"&amp;" for "&amp;'Input'!B7&amp;" in "&amp;'Input'!C7&amp;" ("&amp;'Input'!D7&amp;")"</f>
        <v>0</v>
      </c>
    </row>
    <row r="2" spans="1:1">
      <c r="A2" s="2" t="s">
        <v>1615</v>
      </c>
    </row>
    <row r="3" spans="1:1">
      <c r="A3" s="2" t="s">
        <v>1502</v>
      </c>
    </row>
    <row r="4" spans="1:1">
      <c r="A4" s="12" t="s">
        <v>172</v>
      </c>
    </row>
    <row r="5" spans="1:1">
      <c r="A5" s="12" t="s">
        <v>173</v>
      </c>
    </row>
    <row r="6" spans="1:1">
      <c r="A6" s="12" t="s">
        <v>210</v>
      </c>
    </row>
    <row r="7" spans="1:1">
      <c r="A7" s="12" t="s">
        <v>174</v>
      </c>
    </row>
    <row r="8" spans="1:1">
      <c r="A8" s="12" t="s">
        <v>175</v>
      </c>
    </row>
    <row r="9" spans="1:1">
      <c r="A9" s="12" t="s">
        <v>211</v>
      </c>
    </row>
    <row r="10" spans="1:1">
      <c r="A10" s="12" t="s">
        <v>176</v>
      </c>
    </row>
    <row r="11" spans="1:1">
      <c r="A11" s="12" t="s">
        <v>177</v>
      </c>
    </row>
    <row r="12" spans="1:1">
      <c r="A12" s="12" t="s">
        <v>191</v>
      </c>
    </row>
    <row r="13" spans="1:1">
      <c r="A13" s="12" t="s">
        <v>178</v>
      </c>
    </row>
    <row r="14" spans="1:1">
      <c r="A14" s="12" t="s">
        <v>179</v>
      </c>
    </row>
    <row r="15" spans="1:1">
      <c r="A15" s="12" t="s">
        <v>192</v>
      </c>
    </row>
    <row r="16" spans="1:1">
      <c r="A16" s="12" t="s">
        <v>212</v>
      </c>
    </row>
    <row r="17" spans="1:1">
      <c r="A17" s="12" t="s">
        <v>213</v>
      </c>
    </row>
    <row r="18" spans="1:1">
      <c r="A18" s="12" t="s">
        <v>214</v>
      </c>
    </row>
    <row r="19" spans="1:1">
      <c r="A19" s="12" t="s">
        <v>215</v>
      </c>
    </row>
    <row r="20" spans="1:1">
      <c r="A20" s="12" t="s">
        <v>216</v>
      </c>
    </row>
    <row r="21" spans="1:1">
      <c r="A21" s="12" t="s">
        <v>180</v>
      </c>
    </row>
    <row r="22" spans="1:1">
      <c r="A22" s="12" t="s">
        <v>181</v>
      </c>
    </row>
    <row r="23" spans="1:1">
      <c r="A23" s="12" t="s">
        <v>182</v>
      </c>
    </row>
    <row r="24" spans="1:1">
      <c r="A24" s="12" t="s">
        <v>183</v>
      </c>
    </row>
    <row r="25" spans="1:1">
      <c r="A25" s="12" t="s">
        <v>184</v>
      </c>
    </row>
    <row r="26" spans="1:1">
      <c r="A26" s="12" t="s">
        <v>185</v>
      </c>
    </row>
    <row r="27" spans="1:1">
      <c r="A27" s="12" t="s">
        <v>193</v>
      </c>
    </row>
    <row r="28" spans="1:1">
      <c r="A28" s="12" t="s">
        <v>194</v>
      </c>
    </row>
    <row r="31" spans="1:1">
      <c r="A31" s="1" t="s">
        <v>172</v>
      </c>
    </row>
    <row r="33" spans="1:7">
      <c r="B33" s="3" t="s">
        <v>221</v>
      </c>
      <c r="C33" s="3" t="s">
        <v>224</v>
      </c>
      <c r="D33" s="3" t="s">
        <v>1593</v>
      </c>
      <c r="E33" s="3" t="s">
        <v>1594</v>
      </c>
    </row>
    <row r="34" spans="1:7">
      <c r="A34" s="11" t="s">
        <v>172</v>
      </c>
      <c r="B34" s="33">
        <f>'Loads'!B$282</f>
        <v>0</v>
      </c>
      <c r="C34" s="33">
        <f>'Loads'!E$282</f>
        <v>0</v>
      </c>
      <c r="D34" s="33">
        <f>'Multi'!B$109</f>
        <v>0</v>
      </c>
      <c r="E34" s="6">
        <f>IF(C34,D34/C34,"")</f>
        <v>0</v>
      </c>
      <c r="F34" s="10"/>
    </row>
    <row r="36" spans="1:7">
      <c r="B36" s="3" t="s">
        <v>1416</v>
      </c>
      <c r="C36" s="3" t="s">
        <v>1419</v>
      </c>
      <c r="D36" s="3" t="s">
        <v>1595</v>
      </c>
      <c r="E36" s="3" t="s">
        <v>1565</v>
      </c>
      <c r="F36" s="3" t="s">
        <v>1596</v>
      </c>
    </row>
    <row r="37" spans="1:7">
      <c r="A37" s="11" t="s">
        <v>449</v>
      </c>
      <c r="B37" s="7">
        <f>'Standing'!$C$50</f>
        <v>0</v>
      </c>
      <c r="C37" s="37">
        <f>'NHH'!$C$88</f>
        <v>0</v>
      </c>
      <c r="D37" s="17">
        <f>0.01*'Input'!$F$58*(C37*$C$34)+10*(B37*$B$34)</f>
        <v>0</v>
      </c>
      <c r="E37" s="6">
        <f>IF($D$34&lt;&gt;0,0.1*D37/$D$34,"")</f>
        <v>0</v>
      </c>
      <c r="F37" s="35">
        <f>IF($C$34&lt;&gt;0,D37/$C$34,"")</f>
        <v>0</v>
      </c>
      <c r="G37" s="10"/>
    </row>
    <row r="38" spans="1:7">
      <c r="A38" s="11" t="s">
        <v>450</v>
      </c>
      <c r="B38" s="7">
        <f>'Standing'!$D$50</f>
        <v>0</v>
      </c>
      <c r="C38" s="37">
        <f>'NHH'!$D$88</f>
        <v>0</v>
      </c>
      <c r="D38" s="17">
        <f>0.01*'Input'!$F$58*(C38*$C$34)+10*(B38*$B$34)</f>
        <v>0</v>
      </c>
      <c r="E38" s="6">
        <f>IF($D$34&lt;&gt;0,0.1*D38/$D$34,"")</f>
        <v>0</v>
      </c>
      <c r="F38" s="35">
        <f>IF($C$34&lt;&gt;0,D38/$C$34,"")</f>
        <v>0</v>
      </c>
      <c r="G38" s="10"/>
    </row>
    <row r="39" spans="1:7">
      <c r="A39" s="11" t="s">
        <v>451</v>
      </c>
      <c r="B39" s="7">
        <f>'Standing'!$E$50</f>
        <v>0</v>
      </c>
      <c r="C39" s="37">
        <f>'NHH'!$E$88</f>
        <v>0</v>
      </c>
      <c r="D39" s="17">
        <f>0.01*'Input'!$F$58*(C39*$C$34)+10*(B39*$B$34)</f>
        <v>0</v>
      </c>
      <c r="E39" s="6">
        <f>IF($D$34&lt;&gt;0,0.1*D39/$D$34,"")</f>
        <v>0</v>
      </c>
      <c r="F39" s="35">
        <f>IF($C$34&lt;&gt;0,D39/$C$34,"")</f>
        <v>0</v>
      </c>
      <c r="G39" s="10"/>
    </row>
    <row r="40" spans="1:7">
      <c r="A40" s="11" t="s">
        <v>452</v>
      </c>
      <c r="B40" s="7">
        <f>'Standing'!$F$50</f>
        <v>0</v>
      </c>
      <c r="C40" s="37">
        <f>'NHH'!$F$88</f>
        <v>0</v>
      </c>
      <c r="D40" s="17">
        <f>0.01*'Input'!$F$58*(C40*$C$34)+10*(B40*$B$34)</f>
        <v>0</v>
      </c>
      <c r="E40" s="6">
        <f>IF($D$34&lt;&gt;0,0.1*D40/$D$34,"")</f>
        <v>0</v>
      </c>
      <c r="F40" s="35">
        <f>IF($C$34&lt;&gt;0,D40/$C$34,"")</f>
        <v>0</v>
      </c>
      <c r="G40" s="10"/>
    </row>
    <row r="41" spans="1:7">
      <c r="A41" s="11" t="s">
        <v>453</v>
      </c>
      <c r="B41" s="7">
        <f>'Standing'!$G$50</f>
        <v>0</v>
      </c>
      <c r="C41" s="37">
        <f>'NHH'!$G$88</f>
        <v>0</v>
      </c>
      <c r="D41" s="17">
        <f>0.01*'Input'!$F$58*(C41*$C$34)+10*(B41*$B$34)</f>
        <v>0</v>
      </c>
      <c r="E41" s="6">
        <f>IF($D$34&lt;&gt;0,0.1*D41/$D$34,"")</f>
        <v>0</v>
      </c>
      <c r="F41" s="35">
        <f>IF($C$34&lt;&gt;0,D41/$C$34,"")</f>
        <v>0</v>
      </c>
      <c r="G41" s="10"/>
    </row>
    <row r="42" spans="1:7">
      <c r="A42" s="11" t="s">
        <v>454</v>
      </c>
      <c r="B42" s="7">
        <f>'Standing'!$H$50</f>
        <v>0</v>
      </c>
      <c r="C42" s="37">
        <f>'NHH'!$H$88</f>
        <v>0</v>
      </c>
      <c r="D42" s="17">
        <f>0.01*'Input'!$F$58*(C42*$C$34)+10*(B42*$B$34)</f>
        <v>0</v>
      </c>
      <c r="E42" s="6">
        <f>IF($D$34&lt;&gt;0,0.1*D42/$D$34,"")</f>
        <v>0</v>
      </c>
      <c r="F42" s="35">
        <f>IF($C$34&lt;&gt;0,D42/$C$34,"")</f>
        <v>0</v>
      </c>
      <c r="G42" s="10"/>
    </row>
    <row r="43" spans="1:7">
      <c r="A43" s="11" t="s">
        <v>455</v>
      </c>
      <c r="B43" s="7">
        <f>'Standing'!$I$50</f>
        <v>0</v>
      </c>
      <c r="C43" s="37">
        <f>'NHH'!$I$88</f>
        <v>0</v>
      </c>
      <c r="D43" s="17">
        <f>0.01*'Input'!$F$58*(C43*$C$34)+10*(B43*$B$34)</f>
        <v>0</v>
      </c>
      <c r="E43" s="6">
        <f>IF($D$34&lt;&gt;0,0.1*D43/$D$34,"")</f>
        <v>0</v>
      </c>
      <c r="F43" s="35">
        <f>IF($C$34&lt;&gt;0,D43/$C$34,"")</f>
        <v>0</v>
      </c>
      <c r="G43" s="10"/>
    </row>
    <row r="44" spans="1:7">
      <c r="A44" s="11" t="s">
        <v>456</v>
      </c>
      <c r="B44" s="7">
        <f>'Standing'!$J$50</f>
        <v>0</v>
      </c>
      <c r="C44" s="37">
        <f>'NHH'!$J$88</f>
        <v>0</v>
      </c>
      <c r="D44" s="17">
        <f>0.01*'Input'!$F$58*(C44*$C$34)+10*(B44*$B$34)</f>
        <v>0</v>
      </c>
      <c r="E44" s="6">
        <f>IF($D$34&lt;&gt;0,0.1*D44/$D$34,"")</f>
        <v>0</v>
      </c>
      <c r="F44" s="35">
        <f>IF($C$34&lt;&gt;0,D44/$C$34,"")</f>
        <v>0</v>
      </c>
      <c r="G44" s="10"/>
    </row>
    <row r="45" spans="1:7">
      <c r="A45" s="11" t="s">
        <v>1597</v>
      </c>
      <c r="B45" s="9"/>
      <c r="C45" s="37">
        <f>'SM'!$B$102</f>
        <v>0</v>
      </c>
      <c r="D45" s="17">
        <f>0.01*'Input'!$F$58*(C45*$C$34)+10*(B45*$B$34)</f>
        <v>0</v>
      </c>
      <c r="E45" s="6">
        <f>IF($D$34&lt;&gt;0,0.1*D45/$D$34,"")</f>
        <v>0</v>
      </c>
      <c r="F45" s="35">
        <f>IF($C$34&lt;&gt;0,D45/$C$34,"")</f>
        <v>0</v>
      </c>
      <c r="G45" s="10"/>
    </row>
    <row r="46" spans="1:7">
      <c r="A46" s="11" t="s">
        <v>1598</v>
      </c>
      <c r="B46" s="9"/>
      <c r="C46" s="37">
        <f>'SM'!$C$102</f>
        <v>0</v>
      </c>
      <c r="D46" s="17">
        <f>0.01*'Input'!$F$58*(C46*$C$34)+10*(B46*$B$34)</f>
        <v>0</v>
      </c>
      <c r="E46" s="6">
        <f>IF($D$34&lt;&gt;0,0.1*D46/$D$34,"")</f>
        <v>0</v>
      </c>
      <c r="F46" s="35">
        <f>IF($C$34&lt;&gt;0,D46/$C$34,"")</f>
        <v>0</v>
      </c>
      <c r="G46" s="10"/>
    </row>
    <row r="47" spans="1:7">
      <c r="A47" s="11" t="s">
        <v>1599</v>
      </c>
      <c r="B47" s="7">
        <f>'Standing'!$K$50</f>
        <v>0</v>
      </c>
      <c r="C47" s="37">
        <f>'NHH'!$K$88</f>
        <v>0</v>
      </c>
      <c r="D47" s="17">
        <f>0.01*'Input'!$F$58*(C47*$C$34)+10*(B47*$B$34)</f>
        <v>0</v>
      </c>
      <c r="E47" s="6">
        <f>IF($D$34&lt;&gt;0,0.1*D47/$D$34,"")</f>
        <v>0</v>
      </c>
      <c r="F47" s="35">
        <f>IF($C$34&lt;&gt;0,D47/$C$34,"")</f>
        <v>0</v>
      </c>
      <c r="G47" s="10"/>
    </row>
    <row r="48" spans="1:7">
      <c r="A48" s="11" t="s">
        <v>1600</v>
      </c>
      <c r="B48" s="7">
        <f>'Standing'!$L$50</f>
        <v>0</v>
      </c>
      <c r="C48" s="37">
        <f>'NHH'!$L$88</f>
        <v>0</v>
      </c>
      <c r="D48" s="17">
        <f>0.01*'Input'!$F$58*(C48*$C$34)+10*(B48*$B$34)</f>
        <v>0</v>
      </c>
      <c r="E48" s="6">
        <f>IF($D$34&lt;&gt;0,0.1*D48/$D$34,"")</f>
        <v>0</v>
      </c>
      <c r="F48" s="35">
        <f>IF($C$34&lt;&gt;0,D48/$C$34,"")</f>
        <v>0</v>
      </c>
      <c r="G48" s="10"/>
    </row>
    <row r="49" spans="1:7">
      <c r="A49" s="11" t="s">
        <v>1601</v>
      </c>
      <c r="B49" s="7">
        <f>'Standing'!$M$50</f>
        <v>0</v>
      </c>
      <c r="C49" s="37">
        <f>'NHH'!$M$88</f>
        <v>0</v>
      </c>
      <c r="D49" s="17">
        <f>0.01*'Input'!$F$58*(C49*$C$34)+10*(B49*$B$34)</f>
        <v>0</v>
      </c>
      <c r="E49" s="6">
        <f>IF($D$34&lt;&gt;0,0.1*D49/$D$34,"")</f>
        <v>0</v>
      </c>
      <c r="F49" s="35">
        <f>IF($C$34&lt;&gt;0,D49/$C$34,"")</f>
        <v>0</v>
      </c>
      <c r="G49" s="10"/>
    </row>
    <row r="50" spans="1:7">
      <c r="A50" s="11" t="s">
        <v>1602</v>
      </c>
      <c r="B50" s="7">
        <f>'Standing'!$N$50</f>
        <v>0</v>
      </c>
      <c r="C50" s="37">
        <f>'NHH'!$N$88</f>
        <v>0</v>
      </c>
      <c r="D50" s="17">
        <f>0.01*'Input'!$F$58*(C50*$C$34)+10*(B50*$B$34)</f>
        <v>0</v>
      </c>
      <c r="E50" s="6">
        <f>IF($D$34&lt;&gt;0,0.1*D50/$D$34,"")</f>
        <v>0</v>
      </c>
      <c r="F50" s="35">
        <f>IF($C$34&lt;&gt;0,D50/$C$34,"")</f>
        <v>0</v>
      </c>
      <c r="G50" s="10"/>
    </row>
    <row r="51" spans="1:7">
      <c r="A51" s="11" t="s">
        <v>1603</v>
      </c>
      <c r="B51" s="7">
        <f>'Standing'!$O$50</f>
        <v>0</v>
      </c>
      <c r="C51" s="37">
        <f>'NHH'!$O$88</f>
        <v>0</v>
      </c>
      <c r="D51" s="17">
        <f>0.01*'Input'!$F$58*(C51*$C$34)+10*(B51*$B$34)</f>
        <v>0</v>
      </c>
      <c r="E51" s="6">
        <f>IF($D$34&lt;&gt;0,0.1*D51/$D$34,"")</f>
        <v>0</v>
      </c>
      <c r="F51" s="35">
        <f>IF($C$34&lt;&gt;0,D51/$C$34,"")</f>
        <v>0</v>
      </c>
      <c r="G51" s="10"/>
    </row>
    <row r="52" spans="1:7">
      <c r="A52" s="11" t="s">
        <v>1604</v>
      </c>
      <c r="B52" s="7">
        <f>'Standing'!$P$50</f>
        <v>0</v>
      </c>
      <c r="C52" s="37">
        <f>'NHH'!$P$88</f>
        <v>0</v>
      </c>
      <c r="D52" s="17">
        <f>0.01*'Input'!$F$58*(C52*$C$34)+10*(B52*$B$34)</f>
        <v>0</v>
      </c>
      <c r="E52" s="6">
        <f>IF($D$34&lt;&gt;0,0.1*D52/$D$34,"")</f>
        <v>0</v>
      </c>
      <c r="F52" s="35">
        <f>IF($C$34&lt;&gt;0,D52/$C$34,"")</f>
        <v>0</v>
      </c>
      <c r="G52" s="10"/>
    </row>
    <row r="53" spans="1:7">
      <c r="A53" s="11" t="s">
        <v>1605</v>
      </c>
      <c r="B53" s="7">
        <f>'Standing'!$Q$50</f>
        <v>0</v>
      </c>
      <c r="C53" s="37">
        <f>'NHH'!$Q$88</f>
        <v>0</v>
      </c>
      <c r="D53" s="17">
        <f>0.01*'Input'!$F$58*(C53*$C$34)+10*(B53*$B$34)</f>
        <v>0</v>
      </c>
      <c r="E53" s="6">
        <f>IF($D$34&lt;&gt;0,0.1*D53/$D$34,"")</f>
        <v>0</v>
      </c>
      <c r="F53" s="35">
        <f>IF($C$34&lt;&gt;0,D53/$C$34,"")</f>
        <v>0</v>
      </c>
      <c r="G53" s="10"/>
    </row>
    <row r="54" spans="1:7">
      <c r="A54" s="11" t="s">
        <v>1606</v>
      </c>
      <c r="B54" s="7">
        <f>'Standing'!$R$50</f>
        <v>0</v>
      </c>
      <c r="C54" s="37">
        <f>'NHH'!$R$88</f>
        <v>0</v>
      </c>
      <c r="D54" s="17">
        <f>0.01*'Input'!$F$58*(C54*$C$34)+10*(B54*$B$34)</f>
        <v>0</v>
      </c>
      <c r="E54" s="6">
        <f>IF($D$34&lt;&gt;0,0.1*D54/$D$34,"")</f>
        <v>0</v>
      </c>
      <c r="F54" s="35">
        <f>IF($C$34&lt;&gt;0,D54/$C$34,"")</f>
        <v>0</v>
      </c>
      <c r="G54" s="10"/>
    </row>
    <row r="55" spans="1:7">
      <c r="A55" s="11" t="s">
        <v>1607</v>
      </c>
      <c r="B55" s="7">
        <f>'Standing'!$S$50</f>
        <v>0</v>
      </c>
      <c r="C55" s="37">
        <f>'NHH'!$S$88</f>
        <v>0</v>
      </c>
      <c r="D55" s="17">
        <f>0.01*'Input'!$F$58*(C55*$C$34)+10*(B55*$B$34)</f>
        <v>0</v>
      </c>
      <c r="E55" s="6">
        <f>IF($D$34&lt;&gt;0,0.1*D55/$D$34,"")</f>
        <v>0</v>
      </c>
      <c r="F55" s="35">
        <f>IF($C$34&lt;&gt;0,D55/$C$34,"")</f>
        <v>0</v>
      </c>
      <c r="G55" s="10"/>
    </row>
    <row r="56" spans="1:7">
      <c r="A56" s="11" t="s">
        <v>1608</v>
      </c>
      <c r="B56" s="9"/>
      <c r="C56" s="37">
        <f>'Otex'!$B$121</f>
        <v>0</v>
      </c>
      <c r="D56" s="17">
        <f>0.01*'Input'!$F$58*(C56*$C$34)+10*(B56*$B$34)</f>
        <v>0</v>
      </c>
      <c r="E56" s="6">
        <f>IF($D$34&lt;&gt;0,0.1*D56/$D$34,"")</f>
        <v>0</v>
      </c>
      <c r="F56" s="35">
        <f>IF($C$34&lt;&gt;0,D56/$C$34,"")</f>
        <v>0</v>
      </c>
      <c r="G56" s="10"/>
    </row>
    <row r="57" spans="1:7">
      <c r="A57" s="11" t="s">
        <v>1609</v>
      </c>
      <c r="B57" s="9"/>
      <c r="C57" s="37">
        <f>'Otex'!$C$121</f>
        <v>0</v>
      </c>
      <c r="D57" s="17">
        <f>0.01*'Input'!$F$58*(C57*$C$34)+10*(B57*$B$34)</f>
        <v>0</v>
      </c>
      <c r="E57" s="6">
        <f>IF($D$34&lt;&gt;0,0.1*D57/$D$34,"")</f>
        <v>0</v>
      </c>
      <c r="F57" s="35">
        <f>IF($C$34&lt;&gt;0,D57/$C$34,"")</f>
        <v>0</v>
      </c>
      <c r="G57" s="10"/>
    </row>
    <row r="58" spans="1:7">
      <c r="A58" s="11" t="s">
        <v>1610</v>
      </c>
      <c r="B58" s="7">
        <f>'Adder'!$B$742</f>
        <v>0</v>
      </c>
      <c r="C58" s="37">
        <f>'Adder'!$E$742</f>
        <v>0</v>
      </c>
      <c r="D58" s="17">
        <f>0.01*'Input'!$F$58*(C58*$C$34)+10*(B58*$B$34)</f>
        <v>0</v>
      </c>
      <c r="E58" s="6">
        <f>IF($D$34&lt;&gt;0,0.1*D58/$D$34,"")</f>
        <v>0</v>
      </c>
      <c r="F58" s="35">
        <f>IF($C$34&lt;&gt;0,D58/$C$34,"")</f>
        <v>0</v>
      </c>
      <c r="G58" s="10"/>
    </row>
    <row r="59" spans="1:7">
      <c r="A59" s="11" t="s">
        <v>1611</v>
      </c>
      <c r="B59" s="7">
        <f>'Adjust'!$B$70</f>
        <v>0</v>
      </c>
      <c r="C59" s="37">
        <f>'Adjust'!$E$70</f>
        <v>0</v>
      </c>
      <c r="D59" s="17">
        <f>0.01*'Input'!$F$58*(C59*$C$34)+10*(B59*$B$34)</f>
        <v>0</v>
      </c>
      <c r="E59" s="6">
        <f>IF($D$34&lt;&gt;0,0.1*D59/$D$34,"")</f>
        <v>0</v>
      </c>
      <c r="F59" s="35">
        <f>IF($C$34&lt;&gt;0,D59/$C$34,"")</f>
        <v>0</v>
      </c>
      <c r="G59" s="10"/>
    </row>
    <row r="61" spans="1:7">
      <c r="A61" s="11" t="s">
        <v>1612</v>
      </c>
      <c r="B61" s="6">
        <f>SUM($B$37:$B$59)</f>
        <v>0</v>
      </c>
      <c r="C61" s="35">
        <f>SUM($C$37:$C$59)</f>
        <v>0</v>
      </c>
      <c r="D61" s="17">
        <f>SUM($D$37:$D$59)</f>
        <v>0</v>
      </c>
      <c r="E61" s="6">
        <f>SUM($E$37:$E$59)</f>
        <v>0</v>
      </c>
      <c r="F61" s="35">
        <f>SUM($F$37:$F$59)</f>
        <v>0</v>
      </c>
    </row>
    <row r="63" spans="1:7">
      <c r="A63" s="1" t="s">
        <v>173</v>
      </c>
    </row>
    <row r="65" spans="1:9">
      <c r="B65" s="3" t="s">
        <v>221</v>
      </c>
      <c r="C65" s="3" t="s">
        <v>222</v>
      </c>
      <c r="D65" s="3" t="s">
        <v>224</v>
      </c>
      <c r="E65" s="3" t="s">
        <v>1593</v>
      </c>
      <c r="F65" s="3" t="s">
        <v>1594</v>
      </c>
    </row>
    <row r="66" spans="1:9">
      <c r="A66" s="11" t="s">
        <v>173</v>
      </c>
      <c r="B66" s="33">
        <f>'Loads'!B$283</f>
        <v>0</v>
      </c>
      <c r="C66" s="33">
        <f>'Loads'!C$283</f>
        <v>0</v>
      </c>
      <c r="D66" s="33">
        <f>'Loads'!E$283</f>
        <v>0</v>
      </c>
      <c r="E66" s="33">
        <f>'Multi'!B$110</f>
        <v>0</v>
      </c>
      <c r="F66" s="6">
        <f>IF(D66,E66/D66,"")</f>
        <v>0</v>
      </c>
      <c r="G66" s="10"/>
    </row>
    <row r="68" spans="1:9">
      <c r="B68" s="3" t="s">
        <v>1416</v>
      </c>
      <c r="C68" s="3" t="s">
        <v>1417</v>
      </c>
      <c r="D68" s="3" t="s">
        <v>1419</v>
      </c>
      <c r="E68" s="3" t="s">
        <v>1613</v>
      </c>
      <c r="F68" s="3" t="s">
        <v>1595</v>
      </c>
      <c r="G68" s="3" t="s">
        <v>1565</v>
      </c>
      <c r="H68" s="3" t="s">
        <v>1596</v>
      </c>
    </row>
    <row r="69" spans="1:9">
      <c r="A69" s="11" t="s">
        <v>449</v>
      </c>
      <c r="B69" s="7">
        <f>'Standing'!$C$75</f>
        <v>0</v>
      </c>
      <c r="C69" s="7">
        <f>'Standing'!$C$98</f>
        <v>0</v>
      </c>
      <c r="D69" s="37">
        <f>'NHH'!$C$89</f>
        <v>0</v>
      </c>
      <c r="E69" s="6">
        <f>IF(E$66&lt;&gt;0,(($B69*B$66+$C69*C$66))/E$66,0)</f>
        <v>0</v>
      </c>
      <c r="F69" s="17">
        <f>0.01*'Input'!$F$58*(D69*$D$66)+10*(B69*$B$66+C69*$C$66)</f>
        <v>0</v>
      </c>
      <c r="G69" s="6">
        <f>IF($E$66&lt;&gt;0,0.1*F69/$E$66,"")</f>
        <v>0</v>
      </c>
      <c r="H69" s="35">
        <f>IF($D$66&lt;&gt;0,F69/$D$66,"")</f>
        <v>0</v>
      </c>
      <c r="I69" s="10"/>
    </row>
    <row r="70" spans="1:9">
      <c r="A70" s="11" t="s">
        <v>450</v>
      </c>
      <c r="B70" s="7">
        <f>'Standing'!$D$75</f>
        <v>0</v>
      </c>
      <c r="C70" s="7">
        <f>'Standing'!$D$98</f>
        <v>0</v>
      </c>
      <c r="D70" s="37">
        <f>'NHH'!$D$89</f>
        <v>0</v>
      </c>
      <c r="E70" s="6">
        <f>IF(E$66&lt;&gt;0,(($B70*B$66+$C70*C$66))/E$66,0)</f>
        <v>0</v>
      </c>
      <c r="F70" s="17">
        <f>0.01*'Input'!$F$58*(D70*$D$66)+10*(B70*$B$66+C70*$C$66)</f>
        <v>0</v>
      </c>
      <c r="G70" s="6">
        <f>IF($E$66&lt;&gt;0,0.1*F70/$E$66,"")</f>
        <v>0</v>
      </c>
      <c r="H70" s="35">
        <f>IF($D$66&lt;&gt;0,F70/$D$66,"")</f>
        <v>0</v>
      </c>
      <c r="I70" s="10"/>
    </row>
    <row r="71" spans="1:9">
      <c r="A71" s="11" t="s">
        <v>451</v>
      </c>
      <c r="B71" s="7">
        <f>'Standing'!$E$75</f>
        <v>0</v>
      </c>
      <c r="C71" s="7">
        <f>'Standing'!$E$98</f>
        <v>0</v>
      </c>
      <c r="D71" s="37">
        <f>'NHH'!$E$89</f>
        <v>0</v>
      </c>
      <c r="E71" s="6">
        <f>IF(E$66&lt;&gt;0,(($B71*B$66+$C71*C$66))/E$66,0)</f>
        <v>0</v>
      </c>
      <c r="F71" s="17">
        <f>0.01*'Input'!$F$58*(D71*$D$66)+10*(B71*$B$66+C71*$C$66)</f>
        <v>0</v>
      </c>
      <c r="G71" s="6">
        <f>IF($E$66&lt;&gt;0,0.1*F71/$E$66,"")</f>
        <v>0</v>
      </c>
      <c r="H71" s="35">
        <f>IF($D$66&lt;&gt;0,F71/$D$66,"")</f>
        <v>0</v>
      </c>
      <c r="I71" s="10"/>
    </row>
    <row r="72" spans="1:9">
      <c r="A72" s="11" t="s">
        <v>452</v>
      </c>
      <c r="B72" s="7">
        <f>'Standing'!$F$75</f>
        <v>0</v>
      </c>
      <c r="C72" s="7">
        <f>'Standing'!$F$98</f>
        <v>0</v>
      </c>
      <c r="D72" s="37">
        <f>'NHH'!$F$89</f>
        <v>0</v>
      </c>
      <c r="E72" s="6">
        <f>IF(E$66&lt;&gt;0,(($B72*B$66+$C72*C$66))/E$66,0)</f>
        <v>0</v>
      </c>
      <c r="F72" s="17">
        <f>0.01*'Input'!$F$58*(D72*$D$66)+10*(B72*$B$66+C72*$C$66)</f>
        <v>0</v>
      </c>
      <c r="G72" s="6">
        <f>IF($E$66&lt;&gt;0,0.1*F72/$E$66,"")</f>
        <v>0</v>
      </c>
      <c r="H72" s="35">
        <f>IF($D$66&lt;&gt;0,F72/$D$66,"")</f>
        <v>0</v>
      </c>
      <c r="I72" s="10"/>
    </row>
    <row r="73" spans="1:9">
      <c r="A73" s="11" t="s">
        <v>453</v>
      </c>
      <c r="B73" s="7">
        <f>'Standing'!$G$75</f>
        <v>0</v>
      </c>
      <c r="C73" s="7">
        <f>'Standing'!$G$98</f>
        <v>0</v>
      </c>
      <c r="D73" s="37">
        <f>'NHH'!$G$89</f>
        <v>0</v>
      </c>
      <c r="E73" s="6">
        <f>IF(E$66&lt;&gt;0,(($B73*B$66+$C73*C$66))/E$66,0)</f>
        <v>0</v>
      </c>
      <c r="F73" s="17">
        <f>0.01*'Input'!$F$58*(D73*$D$66)+10*(B73*$B$66+C73*$C$66)</f>
        <v>0</v>
      </c>
      <c r="G73" s="6">
        <f>IF($E$66&lt;&gt;0,0.1*F73/$E$66,"")</f>
        <v>0</v>
      </c>
      <c r="H73" s="35">
        <f>IF($D$66&lt;&gt;0,F73/$D$66,"")</f>
        <v>0</v>
      </c>
      <c r="I73" s="10"/>
    </row>
    <row r="74" spans="1:9">
      <c r="A74" s="11" t="s">
        <v>454</v>
      </c>
      <c r="B74" s="7">
        <f>'Standing'!$H$75</f>
        <v>0</v>
      </c>
      <c r="C74" s="7">
        <f>'Standing'!$H$98</f>
        <v>0</v>
      </c>
      <c r="D74" s="37">
        <f>'NHH'!$H$89</f>
        <v>0</v>
      </c>
      <c r="E74" s="6">
        <f>IF(E$66&lt;&gt;0,(($B74*B$66+$C74*C$66))/E$66,0)</f>
        <v>0</v>
      </c>
      <c r="F74" s="17">
        <f>0.01*'Input'!$F$58*(D74*$D$66)+10*(B74*$B$66+C74*$C$66)</f>
        <v>0</v>
      </c>
      <c r="G74" s="6">
        <f>IF($E$66&lt;&gt;0,0.1*F74/$E$66,"")</f>
        <v>0</v>
      </c>
      <c r="H74" s="35">
        <f>IF($D$66&lt;&gt;0,F74/$D$66,"")</f>
        <v>0</v>
      </c>
      <c r="I74" s="10"/>
    </row>
    <row r="75" spans="1:9">
      <c r="A75" s="11" t="s">
        <v>455</v>
      </c>
      <c r="B75" s="7">
        <f>'Standing'!$I$75</f>
        <v>0</v>
      </c>
      <c r="C75" s="7">
        <f>'Standing'!$I$98</f>
        <v>0</v>
      </c>
      <c r="D75" s="37">
        <f>'NHH'!$I$89</f>
        <v>0</v>
      </c>
      <c r="E75" s="6">
        <f>IF(E$66&lt;&gt;0,(($B75*B$66+$C75*C$66))/E$66,0)</f>
        <v>0</v>
      </c>
      <c r="F75" s="17">
        <f>0.01*'Input'!$F$58*(D75*$D$66)+10*(B75*$B$66+C75*$C$66)</f>
        <v>0</v>
      </c>
      <c r="G75" s="6">
        <f>IF($E$66&lt;&gt;0,0.1*F75/$E$66,"")</f>
        <v>0</v>
      </c>
      <c r="H75" s="35">
        <f>IF($D$66&lt;&gt;0,F75/$D$66,"")</f>
        <v>0</v>
      </c>
      <c r="I75" s="10"/>
    </row>
    <row r="76" spans="1:9">
      <c r="A76" s="11" t="s">
        <v>456</v>
      </c>
      <c r="B76" s="7">
        <f>'Standing'!$J$75</f>
        <v>0</v>
      </c>
      <c r="C76" s="7">
        <f>'Standing'!$J$98</f>
        <v>0</v>
      </c>
      <c r="D76" s="37">
        <f>'NHH'!$J$89</f>
        <v>0</v>
      </c>
      <c r="E76" s="6">
        <f>IF(E$66&lt;&gt;0,(($B76*B$66+$C76*C$66))/E$66,0)</f>
        <v>0</v>
      </c>
      <c r="F76" s="17">
        <f>0.01*'Input'!$F$58*(D76*$D$66)+10*(B76*$B$66+C76*$C$66)</f>
        <v>0</v>
      </c>
      <c r="G76" s="6">
        <f>IF($E$66&lt;&gt;0,0.1*F76/$E$66,"")</f>
        <v>0</v>
      </c>
      <c r="H76" s="35">
        <f>IF($D$66&lt;&gt;0,F76/$D$66,"")</f>
        <v>0</v>
      </c>
      <c r="I76" s="10"/>
    </row>
    <row r="77" spans="1:9">
      <c r="A77" s="11" t="s">
        <v>1597</v>
      </c>
      <c r="B77" s="9"/>
      <c r="C77" s="9"/>
      <c r="D77" s="37">
        <f>'SM'!$B$103</f>
        <v>0</v>
      </c>
      <c r="E77" s="6">
        <f>IF(E$66&lt;&gt;0,(($B77*B$66+$C77*C$66))/E$66,0)</f>
        <v>0</v>
      </c>
      <c r="F77" s="17">
        <f>0.01*'Input'!$F$58*(D77*$D$66)+10*(B77*$B$66+C77*$C$66)</f>
        <v>0</v>
      </c>
      <c r="G77" s="6">
        <f>IF($E$66&lt;&gt;0,0.1*F77/$E$66,"")</f>
        <v>0</v>
      </c>
      <c r="H77" s="35">
        <f>IF($D$66&lt;&gt;0,F77/$D$66,"")</f>
        <v>0</v>
      </c>
      <c r="I77" s="10"/>
    </row>
    <row r="78" spans="1:9">
      <c r="A78" s="11" t="s">
        <v>1598</v>
      </c>
      <c r="B78" s="9"/>
      <c r="C78" s="9"/>
      <c r="D78" s="37">
        <f>'SM'!$C$103</f>
        <v>0</v>
      </c>
      <c r="E78" s="6">
        <f>IF(E$66&lt;&gt;0,(($B78*B$66+$C78*C$66))/E$66,0)</f>
        <v>0</v>
      </c>
      <c r="F78" s="17">
        <f>0.01*'Input'!$F$58*(D78*$D$66)+10*(B78*$B$66+C78*$C$66)</f>
        <v>0</v>
      </c>
      <c r="G78" s="6">
        <f>IF($E$66&lt;&gt;0,0.1*F78/$E$66,"")</f>
        <v>0</v>
      </c>
      <c r="H78" s="35">
        <f>IF($D$66&lt;&gt;0,F78/$D$66,"")</f>
        <v>0</v>
      </c>
      <c r="I78" s="10"/>
    </row>
    <row r="79" spans="1:9">
      <c r="A79" s="11" t="s">
        <v>1599</v>
      </c>
      <c r="B79" s="7">
        <f>'Standing'!$K$75</f>
        <v>0</v>
      </c>
      <c r="C79" s="7">
        <f>'Standing'!$K$98</f>
        <v>0</v>
      </c>
      <c r="D79" s="37">
        <f>'NHH'!$K$89</f>
        <v>0</v>
      </c>
      <c r="E79" s="6">
        <f>IF(E$66&lt;&gt;0,(($B79*B$66+$C79*C$66))/E$66,0)</f>
        <v>0</v>
      </c>
      <c r="F79" s="17">
        <f>0.01*'Input'!$F$58*(D79*$D$66)+10*(B79*$B$66+C79*$C$66)</f>
        <v>0</v>
      </c>
      <c r="G79" s="6">
        <f>IF($E$66&lt;&gt;0,0.1*F79/$E$66,"")</f>
        <v>0</v>
      </c>
      <c r="H79" s="35">
        <f>IF($D$66&lt;&gt;0,F79/$D$66,"")</f>
        <v>0</v>
      </c>
      <c r="I79" s="10"/>
    </row>
    <row r="80" spans="1:9">
      <c r="A80" s="11" t="s">
        <v>1600</v>
      </c>
      <c r="B80" s="7">
        <f>'Standing'!$L$75</f>
        <v>0</v>
      </c>
      <c r="C80" s="7">
        <f>'Standing'!$L$98</f>
        <v>0</v>
      </c>
      <c r="D80" s="37">
        <f>'NHH'!$L$89</f>
        <v>0</v>
      </c>
      <c r="E80" s="6">
        <f>IF(E$66&lt;&gt;0,(($B80*B$66+$C80*C$66))/E$66,0)</f>
        <v>0</v>
      </c>
      <c r="F80" s="17">
        <f>0.01*'Input'!$F$58*(D80*$D$66)+10*(B80*$B$66+C80*$C$66)</f>
        <v>0</v>
      </c>
      <c r="G80" s="6">
        <f>IF($E$66&lt;&gt;0,0.1*F80/$E$66,"")</f>
        <v>0</v>
      </c>
      <c r="H80" s="35">
        <f>IF($D$66&lt;&gt;0,F80/$D$66,"")</f>
        <v>0</v>
      </c>
      <c r="I80" s="10"/>
    </row>
    <row r="81" spans="1:9">
      <c r="A81" s="11" t="s">
        <v>1601</v>
      </c>
      <c r="B81" s="7">
        <f>'Standing'!$M$75</f>
        <v>0</v>
      </c>
      <c r="C81" s="7">
        <f>'Standing'!$M$98</f>
        <v>0</v>
      </c>
      <c r="D81" s="37">
        <f>'NHH'!$M$89</f>
        <v>0</v>
      </c>
      <c r="E81" s="6">
        <f>IF(E$66&lt;&gt;0,(($B81*B$66+$C81*C$66))/E$66,0)</f>
        <v>0</v>
      </c>
      <c r="F81" s="17">
        <f>0.01*'Input'!$F$58*(D81*$D$66)+10*(B81*$B$66+C81*$C$66)</f>
        <v>0</v>
      </c>
      <c r="G81" s="6">
        <f>IF($E$66&lt;&gt;0,0.1*F81/$E$66,"")</f>
        <v>0</v>
      </c>
      <c r="H81" s="35">
        <f>IF($D$66&lt;&gt;0,F81/$D$66,"")</f>
        <v>0</v>
      </c>
      <c r="I81" s="10"/>
    </row>
    <row r="82" spans="1:9">
      <c r="A82" s="11" t="s">
        <v>1602</v>
      </c>
      <c r="B82" s="7">
        <f>'Standing'!$N$75</f>
        <v>0</v>
      </c>
      <c r="C82" s="7">
        <f>'Standing'!$N$98</f>
        <v>0</v>
      </c>
      <c r="D82" s="37">
        <f>'NHH'!$N$89</f>
        <v>0</v>
      </c>
      <c r="E82" s="6">
        <f>IF(E$66&lt;&gt;0,(($B82*B$66+$C82*C$66))/E$66,0)</f>
        <v>0</v>
      </c>
      <c r="F82" s="17">
        <f>0.01*'Input'!$F$58*(D82*$D$66)+10*(B82*$B$66+C82*$C$66)</f>
        <v>0</v>
      </c>
      <c r="G82" s="6">
        <f>IF($E$66&lt;&gt;0,0.1*F82/$E$66,"")</f>
        <v>0</v>
      </c>
      <c r="H82" s="35">
        <f>IF($D$66&lt;&gt;0,F82/$D$66,"")</f>
        <v>0</v>
      </c>
      <c r="I82" s="10"/>
    </row>
    <row r="83" spans="1:9">
      <c r="A83" s="11" t="s">
        <v>1603</v>
      </c>
      <c r="B83" s="7">
        <f>'Standing'!$O$75</f>
        <v>0</v>
      </c>
      <c r="C83" s="7">
        <f>'Standing'!$O$98</f>
        <v>0</v>
      </c>
      <c r="D83" s="37">
        <f>'NHH'!$O$89</f>
        <v>0</v>
      </c>
      <c r="E83" s="6">
        <f>IF(E$66&lt;&gt;0,(($B83*B$66+$C83*C$66))/E$66,0)</f>
        <v>0</v>
      </c>
      <c r="F83" s="17">
        <f>0.01*'Input'!$F$58*(D83*$D$66)+10*(B83*$B$66+C83*$C$66)</f>
        <v>0</v>
      </c>
      <c r="G83" s="6">
        <f>IF($E$66&lt;&gt;0,0.1*F83/$E$66,"")</f>
        <v>0</v>
      </c>
      <c r="H83" s="35">
        <f>IF($D$66&lt;&gt;0,F83/$D$66,"")</f>
        <v>0</v>
      </c>
      <c r="I83" s="10"/>
    </row>
    <row r="84" spans="1:9">
      <c r="A84" s="11" t="s">
        <v>1604</v>
      </c>
      <c r="B84" s="7">
        <f>'Standing'!$P$75</f>
        <v>0</v>
      </c>
      <c r="C84" s="7">
        <f>'Standing'!$P$98</f>
        <v>0</v>
      </c>
      <c r="D84" s="37">
        <f>'NHH'!$P$89</f>
        <v>0</v>
      </c>
      <c r="E84" s="6">
        <f>IF(E$66&lt;&gt;0,(($B84*B$66+$C84*C$66))/E$66,0)</f>
        <v>0</v>
      </c>
      <c r="F84" s="17">
        <f>0.01*'Input'!$F$58*(D84*$D$66)+10*(B84*$B$66+C84*$C$66)</f>
        <v>0</v>
      </c>
      <c r="G84" s="6">
        <f>IF($E$66&lt;&gt;0,0.1*F84/$E$66,"")</f>
        <v>0</v>
      </c>
      <c r="H84" s="35">
        <f>IF($D$66&lt;&gt;0,F84/$D$66,"")</f>
        <v>0</v>
      </c>
      <c r="I84" s="10"/>
    </row>
    <row r="85" spans="1:9">
      <c r="A85" s="11" t="s">
        <v>1605</v>
      </c>
      <c r="B85" s="7">
        <f>'Standing'!$Q$75</f>
        <v>0</v>
      </c>
      <c r="C85" s="7">
        <f>'Standing'!$Q$98</f>
        <v>0</v>
      </c>
      <c r="D85" s="37">
        <f>'NHH'!$Q$89</f>
        <v>0</v>
      </c>
      <c r="E85" s="6">
        <f>IF(E$66&lt;&gt;0,(($B85*B$66+$C85*C$66))/E$66,0)</f>
        <v>0</v>
      </c>
      <c r="F85" s="17">
        <f>0.01*'Input'!$F$58*(D85*$D$66)+10*(B85*$B$66+C85*$C$66)</f>
        <v>0</v>
      </c>
      <c r="G85" s="6">
        <f>IF($E$66&lt;&gt;0,0.1*F85/$E$66,"")</f>
        <v>0</v>
      </c>
      <c r="H85" s="35">
        <f>IF($D$66&lt;&gt;0,F85/$D$66,"")</f>
        <v>0</v>
      </c>
      <c r="I85" s="10"/>
    </row>
    <row r="86" spans="1:9">
      <c r="A86" s="11" t="s">
        <v>1606</v>
      </c>
      <c r="B86" s="7">
        <f>'Standing'!$R$75</f>
        <v>0</v>
      </c>
      <c r="C86" s="7">
        <f>'Standing'!$R$98</f>
        <v>0</v>
      </c>
      <c r="D86" s="37">
        <f>'NHH'!$R$89</f>
        <v>0</v>
      </c>
      <c r="E86" s="6">
        <f>IF(E$66&lt;&gt;0,(($B86*B$66+$C86*C$66))/E$66,0)</f>
        <v>0</v>
      </c>
      <c r="F86" s="17">
        <f>0.01*'Input'!$F$58*(D86*$D$66)+10*(B86*$B$66+C86*$C$66)</f>
        <v>0</v>
      </c>
      <c r="G86" s="6">
        <f>IF($E$66&lt;&gt;0,0.1*F86/$E$66,"")</f>
        <v>0</v>
      </c>
      <c r="H86" s="35">
        <f>IF($D$66&lt;&gt;0,F86/$D$66,"")</f>
        <v>0</v>
      </c>
      <c r="I86" s="10"/>
    </row>
    <row r="87" spans="1:9">
      <c r="A87" s="11" t="s">
        <v>1607</v>
      </c>
      <c r="B87" s="7">
        <f>'Standing'!$S$75</f>
        <v>0</v>
      </c>
      <c r="C87" s="7">
        <f>'Standing'!$S$98</f>
        <v>0</v>
      </c>
      <c r="D87" s="37">
        <f>'NHH'!$S$89</f>
        <v>0</v>
      </c>
      <c r="E87" s="6">
        <f>IF(E$66&lt;&gt;0,(($B87*B$66+$C87*C$66))/E$66,0)</f>
        <v>0</v>
      </c>
      <c r="F87" s="17">
        <f>0.01*'Input'!$F$58*(D87*$D$66)+10*(B87*$B$66+C87*$C$66)</f>
        <v>0</v>
      </c>
      <c r="G87" s="6">
        <f>IF($E$66&lt;&gt;0,0.1*F87/$E$66,"")</f>
        <v>0</v>
      </c>
      <c r="H87" s="35">
        <f>IF($D$66&lt;&gt;0,F87/$D$66,"")</f>
        <v>0</v>
      </c>
      <c r="I87" s="10"/>
    </row>
    <row r="88" spans="1:9">
      <c r="A88" s="11" t="s">
        <v>1608</v>
      </c>
      <c r="B88" s="9"/>
      <c r="C88" s="9"/>
      <c r="D88" s="37">
        <f>'Otex'!$B$122</f>
        <v>0</v>
      </c>
      <c r="E88" s="6">
        <f>IF(E$66&lt;&gt;0,(($B88*B$66+$C88*C$66))/E$66,0)</f>
        <v>0</v>
      </c>
      <c r="F88" s="17">
        <f>0.01*'Input'!$F$58*(D88*$D$66)+10*(B88*$B$66+C88*$C$66)</f>
        <v>0</v>
      </c>
      <c r="G88" s="6">
        <f>IF($E$66&lt;&gt;0,0.1*F88/$E$66,"")</f>
        <v>0</v>
      </c>
      <c r="H88" s="35">
        <f>IF($D$66&lt;&gt;0,F88/$D$66,"")</f>
        <v>0</v>
      </c>
      <c r="I88" s="10"/>
    </row>
    <row r="89" spans="1:9">
      <c r="A89" s="11" t="s">
        <v>1609</v>
      </c>
      <c r="B89" s="9"/>
      <c r="C89" s="9"/>
      <c r="D89" s="37">
        <f>'Otex'!$C$122</f>
        <v>0</v>
      </c>
      <c r="E89" s="6">
        <f>IF(E$66&lt;&gt;0,(($B89*B$66+$C89*C$66))/E$66,0)</f>
        <v>0</v>
      </c>
      <c r="F89" s="17">
        <f>0.01*'Input'!$F$58*(D89*$D$66)+10*(B89*$B$66+C89*$C$66)</f>
        <v>0</v>
      </c>
      <c r="G89" s="6">
        <f>IF($E$66&lt;&gt;0,0.1*F89/$E$66,"")</f>
        <v>0</v>
      </c>
      <c r="H89" s="35">
        <f>IF($D$66&lt;&gt;0,F89/$D$66,"")</f>
        <v>0</v>
      </c>
      <c r="I89" s="10"/>
    </row>
    <row r="90" spans="1:9">
      <c r="A90" s="11" t="s">
        <v>1610</v>
      </c>
      <c r="B90" s="7">
        <f>'Adder'!$B$743</f>
        <v>0</v>
      </c>
      <c r="C90" s="7">
        <f>'Adder'!$C$743</f>
        <v>0</v>
      </c>
      <c r="D90" s="37">
        <f>'Adder'!$E$743</f>
        <v>0</v>
      </c>
      <c r="E90" s="6">
        <f>IF(E$66&lt;&gt;0,(($B90*B$66+$C90*C$66))/E$66,0)</f>
        <v>0</v>
      </c>
      <c r="F90" s="17">
        <f>0.01*'Input'!$F$58*(D90*$D$66)+10*(B90*$B$66+C90*$C$66)</f>
        <v>0</v>
      </c>
      <c r="G90" s="6">
        <f>IF($E$66&lt;&gt;0,0.1*F90/$E$66,"")</f>
        <v>0</v>
      </c>
      <c r="H90" s="35">
        <f>IF($D$66&lt;&gt;0,F90/$D$66,"")</f>
        <v>0</v>
      </c>
      <c r="I90" s="10"/>
    </row>
    <row r="91" spans="1:9">
      <c r="A91" s="11" t="s">
        <v>1611</v>
      </c>
      <c r="B91" s="7">
        <f>'Adjust'!$B$71</f>
        <v>0</v>
      </c>
      <c r="C91" s="7">
        <f>'Adjust'!$C$71</f>
        <v>0</v>
      </c>
      <c r="D91" s="37">
        <f>'Adjust'!$E$71</f>
        <v>0</v>
      </c>
      <c r="E91" s="6">
        <f>IF(E$66&lt;&gt;0,(($B91*B$66+$C91*C$66))/E$66,0)</f>
        <v>0</v>
      </c>
      <c r="F91" s="17">
        <f>0.01*'Input'!$F$58*(D91*$D$66)+10*(B91*$B$66+C91*$C$66)</f>
        <v>0</v>
      </c>
      <c r="G91" s="6">
        <f>IF($E$66&lt;&gt;0,0.1*F91/$E$66,"")</f>
        <v>0</v>
      </c>
      <c r="H91" s="35">
        <f>IF($D$66&lt;&gt;0,F91/$D$66,"")</f>
        <v>0</v>
      </c>
      <c r="I91" s="10"/>
    </row>
    <row r="93" spans="1:9">
      <c r="A93" s="11" t="s">
        <v>1612</v>
      </c>
      <c r="B93" s="6">
        <f>SUM($B$69:$B$91)</f>
        <v>0</v>
      </c>
      <c r="C93" s="6">
        <f>SUM($C$69:$C$91)</f>
        <v>0</v>
      </c>
      <c r="D93" s="35">
        <f>SUM($D$69:$D$91)</f>
        <v>0</v>
      </c>
      <c r="E93" s="6">
        <f>SUM(E$69:E$91)</f>
        <v>0</v>
      </c>
      <c r="F93" s="17">
        <f>SUM($F$69:$F$91)</f>
        <v>0</v>
      </c>
      <c r="G93" s="6">
        <f>SUM($G$69:$G$91)</f>
        <v>0</v>
      </c>
      <c r="H93" s="35">
        <f>SUM($H$69:$H$91)</f>
        <v>0</v>
      </c>
    </row>
    <row r="95" spans="1:9">
      <c r="A95" s="1" t="s">
        <v>210</v>
      </c>
    </row>
    <row r="97" spans="1:5">
      <c r="B97" s="3" t="s">
        <v>221</v>
      </c>
      <c r="C97" s="3" t="s">
        <v>1593</v>
      </c>
    </row>
    <row r="98" spans="1:5">
      <c r="A98" s="11" t="s">
        <v>210</v>
      </c>
      <c r="B98" s="33">
        <f>'Loads'!B$284</f>
        <v>0</v>
      </c>
      <c r="C98" s="33">
        <f>'Multi'!B$111</f>
        <v>0</v>
      </c>
      <c r="D98" s="10"/>
    </row>
    <row r="100" spans="1:5">
      <c r="B100" s="3" t="s">
        <v>1416</v>
      </c>
      <c r="C100" s="3" t="s">
        <v>1595</v>
      </c>
      <c r="D100" s="3" t="s">
        <v>1565</v>
      </c>
    </row>
    <row r="101" spans="1:5">
      <c r="A101" s="11" t="s">
        <v>449</v>
      </c>
      <c r="B101" s="7">
        <f>'Standing'!$C$76</f>
        <v>0</v>
      </c>
      <c r="C101" s="17">
        <f>0+10*(B101*$B$98)</f>
        <v>0</v>
      </c>
      <c r="D101" s="6">
        <f>IF($C$98&lt;&gt;0,0.1*C101/$C$98,"")</f>
        <v>0</v>
      </c>
      <c r="E101" s="10"/>
    </row>
    <row r="102" spans="1:5">
      <c r="A102" s="11" t="s">
        <v>450</v>
      </c>
      <c r="B102" s="7">
        <f>'Standing'!$D$76</f>
        <v>0</v>
      </c>
      <c r="C102" s="17">
        <f>0+10*(B102*$B$98)</f>
        <v>0</v>
      </c>
      <c r="D102" s="6">
        <f>IF($C$98&lt;&gt;0,0.1*C102/$C$98,"")</f>
        <v>0</v>
      </c>
      <c r="E102" s="10"/>
    </row>
    <row r="103" spans="1:5">
      <c r="A103" s="11" t="s">
        <v>451</v>
      </c>
      <c r="B103" s="7">
        <f>'Standing'!$E$76</f>
        <v>0</v>
      </c>
      <c r="C103" s="17">
        <f>0+10*(B103*$B$98)</f>
        <v>0</v>
      </c>
      <c r="D103" s="6">
        <f>IF($C$98&lt;&gt;0,0.1*C103/$C$98,"")</f>
        <v>0</v>
      </c>
      <c r="E103" s="10"/>
    </row>
    <row r="104" spans="1:5">
      <c r="A104" s="11" t="s">
        <v>452</v>
      </c>
      <c r="B104" s="7">
        <f>'Standing'!$F$76</f>
        <v>0</v>
      </c>
      <c r="C104" s="17">
        <f>0+10*(B104*$B$98)</f>
        <v>0</v>
      </c>
      <c r="D104" s="6">
        <f>IF($C$98&lt;&gt;0,0.1*C104/$C$98,"")</f>
        <v>0</v>
      </c>
      <c r="E104" s="10"/>
    </row>
    <row r="105" spans="1:5">
      <c r="A105" s="11" t="s">
        <v>453</v>
      </c>
      <c r="B105" s="7">
        <f>'Standing'!$G$76</f>
        <v>0</v>
      </c>
      <c r="C105" s="17">
        <f>0+10*(B105*$B$98)</f>
        <v>0</v>
      </c>
      <c r="D105" s="6">
        <f>IF($C$98&lt;&gt;0,0.1*C105/$C$98,"")</f>
        <v>0</v>
      </c>
      <c r="E105" s="10"/>
    </row>
    <row r="106" spans="1:5">
      <c r="A106" s="11" t="s">
        <v>454</v>
      </c>
      <c r="B106" s="7">
        <f>'Standing'!$H$76</f>
        <v>0</v>
      </c>
      <c r="C106" s="17">
        <f>0+10*(B106*$B$98)</f>
        <v>0</v>
      </c>
      <c r="D106" s="6">
        <f>IF($C$98&lt;&gt;0,0.1*C106/$C$98,"")</f>
        <v>0</v>
      </c>
      <c r="E106" s="10"/>
    </row>
    <row r="107" spans="1:5">
      <c r="A107" s="11" t="s">
        <v>455</v>
      </c>
      <c r="B107" s="7">
        <f>'Standing'!$I$76</f>
        <v>0</v>
      </c>
      <c r="C107" s="17">
        <f>0+10*(B107*$B$98)</f>
        <v>0</v>
      </c>
      <c r="D107" s="6">
        <f>IF($C$98&lt;&gt;0,0.1*C107/$C$98,"")</f>
        <v>0</v>
      </c>
      <c r="E107" s="10"/>
    </row>
    <row r="108" spans="1:5">
      <c r="A108" s="11" t="s">
        <v>456</v>
      </c>
      <c r="B108" s="7">
        <f>'Standing'!$J$76</f>
        <v>0</v>
      </c>
      <c r="C108" s="17">
        <f>0+10*(B108*$B$98)</f>
        <v>0</v>
      </c>
      <c r="D108" s="6">
        <f>IF($C$98&lt;&gt;0,0.1*C108/$C$98,"")</f>
        <v>0</v>
      </c>
      <c r="E108" s="10"/>
    </row>
    <row r="109" spans="1:5">
      <c r="A109" s="11" t="s">
        <v>1599</v>
      </c>
      <c r="B109" s="7">
        <f>'Standing'!$K$76</f>
        <v>0</v>
      </c>
      <c r="C109" s="17">
        <f>0+10*(B109*$B$98)</f>
        <v>0</v>
      </c>
      <c r="D109" s="6">
        <f>IF($C$98&lt;&gt;0,0.1*C109/$C$98,"")</f>
        <v>0</v>
      </c>
      <c r="E109" s="10"/>
    </row>
    <row r="110" spans="1:5">
      <c r="A110" s="11" t="s">
        <v>1600</v>
      </c>
      <c r="B110" s="7">
        <f>'Standing'!$L$76</f>
        <v>0</v>
      </c>
      <c r="C110" s="17">
        <f>0+10*(B110*$B$98)</f>
        <v>0</v>
      </c>
      <c r="D110" s="6">
        <f>IF($C$98&lt;&gt;0,0.1*C110/$C$98,"")</f>
        <v>0</v>
      </c>
      <c r="E110" s="10"/>
    </row>
    <row r="111" spans="1:5">
      <c r="A111" s="11" t="s">
        <v>1601</v>
      </c>
      <c r="B111" s="7">
        <f>'Standing'!$M$76</f>
        <v>0</v>
      </c>
      <c r="C111" s="17">
        <f>0+10*(B111*$B$98)</f>
        <v>0</v>
      </c>
      <c r="D111" s="6">
        <f>IF($C$98&lt;&gt;0,0.1*C111/$C$98,"")</f>
        <v>0</v>
      </c>
      <c r="E111" s="10"/>
    </row>
    <row r="112" spans="1:5">
      <c r="A112" s="11" t="s">
        <v>1602</v>
      </c>
      <c r="B112" s="7">
        <f>'Standing'!$N$76</f>
        <v>0</v>
      </c>
      <c r="C112" s="17">
        <f>0+10*(B112*$B$98)</f>
        <v>0</v>
      </c>
      <c r="D112" s="6">
        <f>IF($C$98&lt;&gt;0,0.1*C112/$C$98,"")</f>
        <v>0</v>
      </c>
      <c r="E112" s="10"/>
    </row>
    <row r="113" spans="1:6">
      <c r="A113" s="11" t="s">
        <v>1603</v>
      </c>
      <c r="B113" s="7">
        <f>'Standing'!$O$76</f>
        <v>0</v>
      </c>
      <c r="C113" s="17">
        <f>0+10*(B113*$B$98)</f>
        <v>0</v>
      </c>
      <c r="D113" s="6">
        <f>IF($C$98&lt;&gt;0,0.1*C113/$C$98,"")</f>
        <v>0</v>
      </c>
      <c r="E113" s="10"/>
    </row>
    <row r="114" spans="1:6">
      <c r="A114" s="11" t="s">
        <v>1604</v>
      </c>
      <c r="B114" s="7">
        <f>'Standing'!$P$76</f>
        <v>0</v>
      </c>
      <c r="C114" s="17">
        <f>0+10*(B114*$B$98)</f>
        <v>0</v>
      </c>
      <c r="D114" s="6">
        <f>IF($C$98&lt;&gt;0,0.1*C114/$C$98,"")</f>
        <v>0</v>
      </c>
      <c r="E114" s="10"/>
    </row>
    <row r="115" spans="1:6">
      <c r="A115" s="11" t="s">
        <v>1605</v>
      </c>
      <c r="B115" s="7">
        <f>'Standing'!$Q$76</f>
        <v>0</v>
      </c>
      <c r="C115" s="17">
        <f>0+10*(B115*$B$98)</f>
        <v>0</v>
      </c>
      <c r="D115" s="6">
        <f>IF($C$98&lt;&gt;0,0.1*C115/$C$98,"")</f>
        <v>0</v>
      </c>
      <c r="E115" s="10"/>
    </row>
    <row r="116" spans="1:6">
      <c r="A116" s="11" t="s">
        <v>1606</v>
      </c>
      <c r="B116" s="7">
        <f>'Standing'!$R$76</f>
        <v>0</v>
      </c>
      <c r="C116" s="17">
        <f>0+10*(B116*$B$98)</f>
        <v>0</v>
      </c>
      <c r="D116" s="6">
        <f>IF($C$98&lt;&gt;0,0.1*C116/$C$98,"")</f>
        <v>0</v>
      </c>
      <c r="E116" s="10"/>
    </row>
    <row r="117" spans="1:6">
      <c r="A117" s="11" t="s">
        <v>1607</v>
      </c>
      <c r="B117" s="7">
        <f>'Standing'!$S$76</f>
        <v>0</v>
      </c>
      <c r="C117" s="17">
        <f>0+10*(B117*$B$98)</f>
        <v>0</v>
      </c>
      <c r="D117" s="6">
        <f>IF($C$98&lt;&gt;0,0.1*C117/$C$98,"")</f>
        <v>0</v>
      </c>
      <c r="E117" s="10"/>
    </row>
    <row r="118" spans="1:6">
      <c r="A118" s="11" t="s">
        <v>1610</v>
      </c>
      <c r="B118" s="7">
        <f>'Adder'!$B$744</f>
        <v>0</v>
      </c>
      <c r="C118" s="17">
        <f>0+10*(B118*$B$98)</f>
        <v>0</v>
      </c>
      <c r="D118" s="6">
        <f>IF($C$98&lt;&gt;0,0.1*C118/$C$98,"")</f>
        <v>0</v>
      </c>
      <c r="E118" s="10"/>
    </row>
    <row r="119" spans="1:6">
      <c r="A119" s="11" t="s">
        <v>1611</v>
      </c>
      <c r="B119" s="7">
        <f>'Adjust'!$B$72</f>
        <v>0</v>
      </c>
      <c r="C119" s="17">
        <f>0+10*(B119*$B$98)</f>
        <v>0</v>
      </c>
      <c r="D119" s="6">
        <f>IF($C$98&lt;&gt;0,0.1*C119/$C$98,"")</f>
        <v>0</v>
      </c>
      <c r="E119" s="10"/>
    </row>
    <row r="121" spans="1:6">
      <c r="A121" s="11" t="s">
        <v>1612</v>
      </c>
      <c r="B121" s="6">
        <f>SUM($B$101:$B$119)</f>
        <v>0</v>
      </c>
      <c r="C121" s="17">
        <f>SUM($C$101:$C$119)</f>
        <v>0</v>
      </c>
      <c r="D121" s="6">
        <f>SUM($D$101:$D$119)</f>
        <v>0</v>
      </c>
    </row>
    <row r="123" spans="1:6">
      <c r="A123" s="1" t="s">
        <v>174</v>
      </c>
    </row>
    <row r="125" spans="1:6">
      <c r="B125" s="3" t="s">
        <v>221</v>
      </c>
      <c r="C125" s="3" t="s">
        <v>224</v>
      </c>
      <c r="D125" s="3" t="s">
        <v>1593</v>
      </c>
      <c r="E125" s="3" t="s">
        <v>1594</v>
      </c>
    </row>
    <row r="126" spans="1:6">
      <c r="A126" s="11" t="s">
        <v>174</v>
      </c>
      <c r="B126" s="33">
        <f>'Loads'!B$285</f>
        <v>0</v>
      </c>
      <c r="C126" s="33">
        <f>'Loads'!E$285</f>
        <v>0</v>
      </c>
      <c r="D126" s="33">
        <f>'Multi'!B$112</f>
        <v>0</v>
      </c>
      <c r="E126" s="6">
        <f>IF(C126,D126/C126,"")</f>
        <v>0</v>
      </c>
      <c r="F126" s="10"/>
    </row>
    <row r="128" spans="1:6">
      <c r="B128" s="3" t="s">
        <v>1416</v>
      </c>
      <c r="C128" s="3" t="s">
        <v>1419</v>
      </c>
      <c r="D128" s="3" t="s">
        <v>1595</v>
      </c>
      <c r="E128" s="3" t="s">
        <v>1565</v>
      </c>
      <c r="F128" s="3" t="s">
        <v>1596</v>
      </c>
    </row>
    <row r="129" spans="1:7">
      <c r="A129" s="11" t="s">
        <v>449</v>
      </c>
      <c r="B129" s="7">
        <f>'Standing'!$C$53</f>
        <v>0</v>
      </c>
      <c r="C129" s="37">
        <f>'NHH'!$C$90</f>
        <v>0</v>
      </c>
      <c r="D129" s="17">
        <f>0.01*'Input'!$F$58*(C129*$C$126)+10*(B129*$B$126)</f>
        <v>0</v>
      </c>
      <c r="E129" s="6">
        <f>IF($D$126&lt;&gt;0,0.1*D129/$D$126,"")</f>
        <v>0</v>
      </c>
      <c r="F129" s="35">
        <f>IF($C$126&lt;&gt;0,D129/$C$126,"")</f>
        <v>0</v>
      </c>
      <c r="G129" s="10"/>
    </row>
    <row r="130" spans="1:7">
      <c r="A130" s="11" t="s">
        <v>450</v>
      </c>
      <c r="B130" s="7">
        <f>'Standing'!$D$53</f>
        <v>0</v>
      </c>
      <c r="C130" s="37">
        <f>'NHH'!$D$90</f>
        <v>0</v>
      </c>
      <c r="D130" s="17">
        <f>0.01*'Input'!$F$58*(C130*$C$126)+10*(B130*$B$126)</f>
        <v>0</v>
      </c>
      <c r="E130" s="6">
        <f>IF($D$126&lt;&gt;0,0.1*D130/$D$126,"")</f>
        <v>0</v>
      </c>
      <c r="F130" s="35">
        <f>IF($C$126&lt;&gt;0,D130/$C$126,"")</f>
        <v>0</v>
      </c>
      <c r="G130" s="10"/>
    </row>
    <row r="131" spans="1:7">
      <c r="A131" s="11" t="s">
        <v>451</v>
      </c>
      <c r="B131" s="7">
        <f>'Standing'!$E$53</f>
        <v>0</v>
      </c>
      <c r="C131" s="37">
        <f>'NHH'!$E$90</f>
        <v>0</v>
      </c>
      <c r="D131" s="17">
        <f>0.01*'Input'!$F$58*(C131*$C$126)+10*(B131*$B$126)</f>
        <v>0</v>
      </c>
      <c r="E131" s="6">
        <f>IF($D$126&lt;&gt;0,0.1*D131/$D$126,"")</f>
        <v>0</v>
      </c>
      <c r="F131" s="35">
        <f>IF($C$126&lt;&gt;0,D131/$C$126,"")</f>
        <v>0</v>
      </c>
      <c r="G131" s="10"/>
    </row>
    <row r="132" spans="1:7">
      <c r="A132" s="11" t="s">
        <v>452</v>
      </c>
      <c r="B132" s="7">
        <f>'Standing'!$F$53</f>
        <v>0</v>
      </c>
      <c r="C132" s="37">
        <f>'NHH'!$F$90</f>
        <v>0</v>
      </c>
      <c r="D132" s="17">
        <f>0.01*'Input'!$F$58*(C132*$C$126)+10*(B132*$B$126)</f>
        <v>0</v>
      </c>
      <c r="E132" s="6">
        <f>IF($D$126&lt;&gt;0,0.1*D132/$D$126,"")</f>
        <v>0</v>
      </c>
      <c r="F132" s="35">
        <f>IF($C$126&lt;&gt;0,D132/$C$126,"")</f>
        <v>0</v>
      </c>
      <c r="G132" s="10"/>
    </row>
    <row r="133" spans="1:7">
      <c r="A133" s="11" t="s">
        <v>453</v>
      </c>
      <c r="B133" s="7">
        <f>'Standing'!$G$53</f>
        <v>0</v>
      </c>
      <c r="C133" s="37">
        <f>'NHH'!$G$90</f>
        <v>0</v>
      </c>
      <c r="D133" s="17">
        <f>0.01*'Input'!$F$58*(C133*$C$126)+10*(B133*$B$126)</f>
        <v>0</v>
      </c>
      <c r="E133" s="6">
        <f>IF($D$126&lt;&gt;0,0.1*D133/$D$126,"")</f>
        <v>0</v>
      </c>
      <c r="F133" s="35">
        <f>IF($C$126&lt;&gt;0,D133/$C$126,"")</f>
        <v>0</v>
      </c>
      <c r="G133" s="10"/>
    </row>
    <row r="134" spans="1:7">
      <c r="A134" s="11" t="s">
        <v>454</v>
      </c>
      <c r="B134" s="7">
        <f>'Standing'!$H$53</f>
        <v>0</v>
      </c>
      <c r="C134" s="37">
        <f>'NHH'!$H$90</f>
        <v>0</v>
      </c>
      <c r="D134" s="17">
        <f>0.01*'Input'!$F$58*(C134*$C$126)+10*(B134*$B$126)</f>
        <v>0</v>
      </c>
      <c r="E134" s="6">
        <f>IF($D$126&lt;&gt;0,0.1*D134/$D$126,"")</f>
        <v>0</v>
      </c>
      <c r="F134" s="35">
        <f>IF($C$126&lt;&gt;0,D134/$C$126,"")</f>
        <v>0</v>
      </c>
      <c r="G134" s="10"/>
    </row>
    <row r="135" spans="1:7">
      <c r="A135" s="11" t="s">
        <v>455</v>
      </c>
      <c r="B135" s="7">
        <f>'Standing'!$I$53</f>
        <v>0</v>
      </c>
      <c r="C135" s="37">
        <f>'NHH'!$I$90</f>
        <v>0</v>
      </c>
      <c r="D135" s="17">
        <f>0.01*'Input'!$F$58*(C135*$C$126)+10*(B135*$B$126)</f>
        <v>0</v>
      </c>
      <c r="E135" s="6">
        <f>IF($D$126&lt;&gt;0,0.1*D135/$D$126,"")</f>
        <v>0</v>
      </c>
      <c r="F135" s="35">
        <f>IF($C$126&lt;&gt;0,D135/$C$126,"")</f>
        <v>0</v>
      </c>
      <c r="G135" s="10"/>
    </row>
    <row r="136" spans="1:7">
      <c r="A136" s="11" t="s">
        <v>456</v>
      </c>
      <c r="B136" s="7">
        <f>'Standing'!$J$53</f>
        <v>0</v>
      </c>
      <c r="C136" s="37">
        <f>'NHH'!$J$90</f>
        <v>0</v>
      </c>
      <c r="D136" s="17">
        <f>0.01*'Input'!$F$58*(C136*$C$126)+10*(B136*$B$126)</f>
        <v>0</v>
      </c>
      <c r="E136" s="6">
        <f>IF($D$126&lt;&gt;0,0.1*D136/$D$126,"")</f>
        <v>0</v>
      </c>
      <c r="F136" s="35">
        <f>IF($C$126&lt;&gt;0,D136/$C$126,"")</f>
        <v>0</v>
      </c>
      <c r="G136" s="10"/>
    </row>
    <row r="137" spans="1:7">
      <c r="A137" s="11" t="s">
        <v>1597</v>
      </c>
      <c r="B137" s="9"/>
      <c r="C137" s="37">
        <f>'SM'!$B$105</f>
        <v>0</v>
      </c>
      <c r="D137" s="17">
        <f>0.01*'Input'!$F$58*(C137*$C$126)+10*(B137*$B$126)</f>
        <v>0</v>
      </c>
      <c r="E137" s="6">
        <f>IF($D$126&lt;&gt;0,0.1*D137/$D$126,"")</f>
        <v>0</v>
      </c>
      <c r="F137" s="35">
        <f>IF($C$126&lt;&gt;0,D137/$C$126,"")</f>
        <v>0</v>
      </c>
      <c r="G137" s="10"/>
    </row>
    <row r="138" spans="1:7">
      <c r="A138" s="11" t="s">
        <v>1598</v>
      </c>
      <c r="B138" s="9"/>
      <c r="C138" s="37">
        <f>'SM'!$C$105</f>
        <v>0</v>
      </c>
      <c r="D138" s="17">
        <f>0.01*'Input'!$F$58*(C138*$C$126)+10*(B138*$B$126)</f>
        <v>0</v>
      </c>
      <c r="E138" s="6">
        <f>IF($D$126&lt;&gt;0,0.1*D138/$D$126,"")</f>
        <v>0</v>
      </c>
      <c r="F138" s="35">
        <f>IF($C$126&lt;&gt;0,D138/$C$126,"")</f>
        <v>0</v>
      </c>
      <c r="G138" s="10"/>
    </row>
    <row r="139" spans="1:7">
      <c r="A139" s="11" t="s">
        <v>1599</v>
      </c>
      <c r="B139" s="7">
        <f>'Standing'!$K$53</f>
        <v>0</v>
      </c>
      <c r="C139" s="37">
        <f>'NHH'!$K$90</f>
        <v>0</v>
      </c>
      <c r="D139" s="17">
        <f>0.01*'Input'!$F$58*(C139*$C$126)+10*(B139*$B$126)</f>
        <v>0</v>
      </c>
      <c r="E139" s="6">
        <f>IF($D$126&lt;&gt;0,0.1*D139/$D$126,"")</f>
        <v>0</v>
      </c>
      <c r="F139" s="35">
        <f>IF($C$126&lt;&gt;0,D139/$C$126,"")</f>
        <v>0</v>
      </c>
      <c r="G139" s="10"/>
    </row>
    <row r="140" spans="1:7">
      <c r="A140" s="11" t="s">
        <v>1600</v>
      </c>
      <c r="B140" s="7">
        <f>'Standing'!$L$53</f>
        <v>0</v>
      </c>
      <c r="C140" s="37">
        <f>'NHH'!$L$90</f>
        <v>0</v>
      </c>
      <c r="D140" s="17">
        <f>0.01*'Input'!$F$58*(C140*$C$126)+10*(B140*$B$126)</f>
        <v>0</v>
      </c>
      <c r="E140" s="6">
        <f>IF($D$126&lt;&gt;0,0.1*D140/$D$126,"")</f>
        <v>0</v>
      </c>
      <c r="F140" s="35">
        <f>IF($C$126&lt;&gt;0,D140/$C$126,"")</f>
        <v>0</v>
      </c>
      <c r="G140" s="10"/>
    </row>
    <row r="141" spans="1:7">
      <c r="A141" s="11" t="s">
        <v>1601</v>
      </c>
      <c r="B141" s="7">
        <f>'Standing'!$M$53</f>
        <v>0</v>
      </c>
      <c r="C141" s="37">
        <f>'NHH'!$M$90</f>
        <v>0</v>
      </c>
      <c r="D141" s="17">
        <f>0.01*'Input'!$F$58*(C141*$C$126)+10*(B141*$B$126)</f>
        <v>0</v>
      </c>
      <c r="E141" s="6">
        <f>IF($D$126&lt;&gt;0,0.1*D141/$D$126,"")</f>
        <v>0</v>
      </c>
      <c r="F141" s="35">
        <f>IF($C$126&lt;&gt;0,D141/$C$126,"")</f>
        <v>0</v>
      </c>
      <c r="G141" s="10"/>
    </row>
    <row r="142" spans="1:7">
      <c r="A142" s="11" t="s">
        <v>1602</v>
      </c>
      <c r="B142" s="7">
        <f>'Standing'!$N$53</f>
        <v>0</v>
      </c>
      <c r="C142" s="37">
        <f>'NHH'!$N$90</f>
        <v>0</v>
      </c>
      <c r="D142" s="17">
        <f>0.01*'Input'!$F$58*(C142*$C$126)+10*(B142*$B$126)</f>
        <v>0</v>
      </c>
      <c r="E142" s="6">
        <f>IF($D$126&lt;&gt;0,0.1*D142/$D$126,"")</f>
        <v>0</v>
      </c>
      <c r="F142" s="35">
        <f>IF($C$126&lt;&gt;0,D142/$C$126,"")</f>
        <v>0</v>
      </c>
      <c r="G142" s="10"/>
    </row>
    <row r="143" spans="1:7">
      <c r="A143" s="11" t="s">
        <v>1603</v>
      </c>
      <c r="B143" s="7">
        <f>'Standing'!$O$53</f>
        <v>0</v>
      </c>
      <c r="C143" s="37">
        <f>'NHH'!$O$90</f>
        <v>0</v>
      </c>
      <c r="D143" s="17">
        <f>0.01*'Input'!$F$58*(C143*$C$126)+10*(B143*$B$126)</f>
        <v>0</v>
      </c>
      <c r="E143" s="6">
        <f>IF($D$126&lt;&gt;0,0.1*D143/$D$126,"")</f>
        <v>0</v>
      </c>
      <c r="F143" s="35">
        <f>IF($C$126&lt;&gt;0,D143/$C$126,"")</f>
        <v>0</v>
      </c>
      <c r="G143" s="10"/>
    </row>
    <row r="144" spans="1:7">
      <c r="A144" s="11" t="s">
        <v>1604</v>
      </c>
      <c r="B144" s="7">
        <f>'Standing'!$P$53</f>
        <v>0</v>
      </c>
      <c r="C144" s="37">
        <f>'NHH'!$P$90</f>
        <v>0</v>
      </c>
      <c r="D144" s="17">
        <f>0.01*'Input'!$F$58*(C144*$C$126)+10*(B144*$B$126)</f>
        <v>0</v>
      </c>
      <c r="E144" s="6">
        <f>IF($D$126&lt;&gt;0,0.1*D144/$D$126,"")</f>
        <v>0</v>
      </c>
      <c r="F144" s="35">
        <f>IF($C$126&lt;&gt;0,D144/$C$126,"")</f>
        <v>0</v>
      </c>
      <c r="G144" s="10"/>
    </row>
    <row r="145" spans="1:8">
      <c r="A145" s="11" t="s">
        <v>1605</v>
      </c>
      <c r="B145" s="7">
        <f>'Standing'!$Q$53</f>
        <v>0</v>
      </c>
      <c r="C145" s="37">
        <f>'NHH'!$Q$90</f>
        <v>0</v>
      </c>
      <c r="D145" s="17">
        <f>0.01*'Input'!$F$58*(C145*$C$126)+10*(B145*$B$126)</f>
        <v>0</v>
      </c>
      <c r="E145" s="6">
        <f>IF($D$126&lt;&gt;0,0.1*D145/$D$126,"")</f>
        <v>0</v>
      </c>
      <c r="F145" s="35">
        <f>IF($C$126&lt;&gt;0,D145/$C$126,"")</f>
        <v>0</v>
      </c>
      <c r="G145" s="10"/>
    </row>
    <row r="146" spans="1:8">
      <c r="A146" s="11" t="s">
        <v>1606</v>
      </c>
      <c r="B146" s="7">
        <f>'Standing'!$R$53</f>
        <v>0</v>
      </c>
      <c r="C146" s="37">
        <f>'NHH'!$R$90</f>
        <v>0</v>
      </c>
      <c r="D146" s="17">
        <f>0.01*'Input'!$F$58*(C146*$C$126)+10*(B146*$B$126)</f>
        <v>0</v>
      </c>
      <c r="E146" s="6">
        <f>IF($D$126&lt;&gt;0,0.1*D146/$D$126,"")</f>
        <v>0</v>
      </c>
      <c r="F146" s="35">
        <f>IF($C$126&lt;&gt;0,D146/$C$126,"")</f>
        <v>0</v>
      </c>
      <c r="G146" s="10"/>
    </row>
    <row r="147" spans="1:8">
      <c r="A147" s="11" t="s">
        <v>1607</v>
      </c>
      <c r="B147" s="7">
        <f>'Standing'!$S$53</f>
        <v>0</v>
      </c>
      <c r="C147" s="37">
        <f>'NHH'!$S$90</f>
        <v>0</v>
      </c>
      <c r="D147" s="17">
        <f>0.01*'Input'!$F$58*(C147*$C$126)+10*(B147*$B$126)</f>
        <v>0</v>
      </c>
      <c r="E147" s="6">
        <f>IF($D$126&lt;&gt;0,0.1*D147/$D$126,"")</f>
        <v>0</v>
      </c>
      <c r="F147" s="35">
        <f>IF($C$126&lt;&gt;0,D147/$C$126,"")</f>
        <v>0</v>
      </c>
      <c r="G147" s="10"/>
    </row>
    <row r="148" spans="1:8">
      <c r="A148" s="11" t="s">
        <v>1608</v>
      </c>
      <c r="B148" s="9"/>
      <c r="C148" s="37">
        <f>'Otex'!$B$124</f>
        <v>0</v>
      </c>
      <c r="D148" s="17">
        <f>0.01*'Input'!$F$58*(C148*$C$126)+10*(B148*$B$126)</f>
        <v>0</v>
      </c>
      <c r="E148" s="6">
        <f>IF($D$126&lt;&gt;0,0.1*D148/$D$126,"")</f>
        <v>0</v>
      </c>
      <c r="F148" s="35">
        <f>IF($C$126&lt;&gt;0,D148/$C$126,"")</f>
        <v>0</v>
      </c>
      <c r="G148" s="10"/>
    </row>
    <row r="149" spans="1:8">
      <c r="A149" s="11" t="s">
        <v>1609</v>
      </c>
      <c r="B149" s="9"/>
      <c r="C149" s="37">
        <f>'Otex'!$C$124</f>
        <v>0</v>
      </c>
      <c r="D149" s="17">
        <f>0.01*'Input'!$F$58*(C149*$C$126)+10*(B149*$B$126)</f>
        <v>0</v>
      </c>
      <c r="E149" s="6">
        <f>IF($D$126&lt;&gt;0,0.1*D149/$D$126,"")</f>
        <v>0</v>
      </c>
      <c r="F149" s="35">
        <f>IF($C$126&lt;&gt;0,D149/$C$126,"")</f>
        <v>0</v>
      </c>
      <c r="G149" s="10"/>
    </row>
    <row r="150" spans="1:8">
      <c r="A150" s="11" t="s">
        <v>1610</v>
      </c>
      <c r="B150" s="7">
        <f>'Adder'!$B$745</f>
        <v>0</v>
      </c>
      <c r="C150" s="37">
        <f>'Adder'!$E$745</f>
        <v>0</v>
      </c>
      <c r="D150" s="17">
        <f>0.01*'Input'!$F$58*(C150*$C$126)+10*(B150*$B$126)</f>
        <v>0</v>
      </c>
      <c r="E150" s="6">
        <f>IF($D$126&lt;&gt;0,0.1*D150/$D$126,"")</f>
        <v>0</v>
      </c>
      <c r="F150" s="35">
        <f>IF($C$126&lt;&gt;0,D150/$C$126,"")</f>
        <v>0</v>
      </c>
      <c r="G150" s="10"/>
    </row>
    <row r="151" spans="1:8">
      <c r="A151" s="11" t="s">
        <v>1611</v>
      </c>
      <c r="B151" s="7">
        <f>'Adjust'!$B$73</f>
        <v>0</v>
      </c>
      <c r="C151" s="37">
        <f>'Adjust'!$E$73</f>
        <v>0</v>
      </c>
      <c r="D151" s="17">
        <f>0.01*'Input'!$F$58*(C151*$C$126)+10*(B151*$B$126)</f>
        <v>0</v>
      </c>
      <c r="E151" s="6">
        <f>IF($D$126&lt;&gt;0,0.1*D151/$D$126,"")</f>
        <v>0</v>
      </c>
      <c r="F151" s="35">
        <f>IF($C$126&lt;&gt;0,D151/$C$126,"")</f>
        <v>0</v>
      </c>
      <c r="G151" s="10"/>
    </row>
    <row r="153" spans="1:8">
      <c r="A153" s="11" t="s">
        <v>1612</v>
      </c>
      <c r="B153" s="6">
        <f>SUM($B$129:$B$151)</f>
        <v>0</v>
      </c>
      <c r="C153" s="35">
        <f>SUM($C$129:$C$151)</f>
        <v>0</v>
      </c>
      <c r="D153" s="17">
        <f>SUM($D$129:$D$151)</f>
        <v>0</v>
      </c>
      <c r="E153" s="6">
        <f>SUM($E$129:$E$151)</f>
        <v>0</v>
      </c>
      <c r="F153" s="35">
        <f>SUM($F$129:$F$151)</f>
        <v>0</v>
      </c>
    </row>
    <row r="155" spans="1:8">
      <c r="A155" s="1" t="s">
        <v>175</v>
      </c>
    </row>
    <row r="157" spans="1:8">
      <c r="B157" s="3" t="s">
        <v>221</v>
      </c>
      <c r="C157" s="3" t="s">
        <v>222</v>
      </c>
      <c r="D157" s="3" t="s">
        <v>224</v>
      </c>
      <c r="E157" s="3" t="s">
        <v>1593</v>
      </c>
      <c r="F157" s="3" t="s">
        <v>1594</v>
      </c>
    </row>
    <row r="158" spans="1:8">
      <c r="A158" s="11" t="s">
        <v>175</v>
      </c>
      <c r="B158" s="33">
        <f>'Loads'!B$286</f>
        <v>0</v>
      </c>
      <c r="C158" s="33">
        <f>'Loads'!C$286</f>
        <v>0</v>
      </c>
      <c r="D158" s="33">
        <f>'Loads'!E$286</f>
        <v>0</v>
      </c>
      <c r="E158" s="33">
        <f>'Multi'!B$113</f>
        <v>0</v>
      </c>
      <c r="F158" s="6">
        <f>IF(D158,E158/D158,"")</f>
        <v>0</v>
      </c>
      <c r="G158" s="10"/>
    </row>
    <row r="160" spans="1:8">
      <c r="B160" s="3" t="s">
        <v>1416</v>
      </c>
      <c r="C160" s="3" t="s">
        <v>1417</v>
      </c>
      <c r="D160" s="3" t="s">
        <v>1419</v>
      </c>
      <c r="E160" s="3" t="s">
        <v>1613</v>
      </c>
      <c r="F160" s="3" t="s">
        <v>1595</v>
      </c>
      <c r="G160" s="3" t="s">
        <v>1565</v>
      </c>
      <c r="H160" s="3" t="s">
        <v>1596</v>
      </c>
    </row>
    <row r="161" spans="1:9">
      <c r="A161" s="11" t="s">
        <v>449</v>
      </c>
      <c r="B161" s="7">
        <f>'Standing'!$C$77</f>
        <v>0</v>
      </c>
      <c r="C161" s="7">
        <f>'Standing'!$C$99</f>
        <v>0</v>
      </c>
      <c r="D161" s="37">
        <f>'NHH'!$C$91</f>
        <v>0</v>
      </c>
      <c r="E161" s="6">
        <f>IF(E$158&lt;&gt;0,(($B161*B$158+$C161*C$158))/E$158,0)</f>
        <v>0</v>
      </c>
      <c r="F161" s="17">
        <f>0.01*'Input'!$F$58*(D161*$D$158)+10*(B161*$B$158+C161*$C$158)</f>
        <v>0</v>
      </c>
      <c r="G161" s="6">
        <f>IF($E$158&lt;&gt;0,0.1*F161/$E$158,"")</f>
        <v>0</v>
      </c>
      <c r="H161" s="35">
        <f>IF($D$158&lt;&gt;0,F161/$D$158,"")</f>
        <v>0</v>
      </c>
      <c r="I161" s="10"/>
    </row>
    <row r="162" spans="1:9">
      <c r="A162" s="11" t="s">
        <v>450</v>
      </c>
      <c r="B162" s="7">
        <f>'Standing'!$D$77</f>
        <v>0</v>
      </c>
      <c r="C162" s="7">
        <f>'Standing'!$D$99</f>
        <v>0</v>
      </c>
      <c r="D162" s="37">
        <f>'NHH'!$D$91</f>
        <v>0</v>
      </c>
      <c r="E162" s="6">
        <f>IF(E$158&lt;&gt;0,(($B162*B$158+$C162*C$158))/E$158,0)</f>
        <v>0</v>
      </c>
      <c r="F162" s="17">
        <f>0.01*'Input'!$F$58*(D162*$D$158)+10*(B162*$B$158+C162*$C$158)</f>
        <v>0</v>
      </c>
      <c r="G162" s="6">
        <f>IF($E$158&lt;&gt;0,0.1*F162/$E$158,"")</f>
        <v>0</v>
      </c>
      <c r="H162" s="35">
        <f>IF($D$158&lt;&gt;0,F162/$D$158,"")</f>
        <v>0</v>
      </c>
      <c r="I162" s="10"/>
    </row>
    <row r="163" spans="1:9">
      <c r="A163" s="11" t="s">
        <v>451</v>
      </c>
      <c r="B163" s="7">
        <f>'Standing'!$E$77</f>
        <v>0</v>
      </c>
      <c r="C163" s="7">
        <f>'Standing'!$E$99</f>
        <v>0</v>
      </c>
      <c r="D163" s="37">
        <f>'NHH'!$E$91</f>
        <v>0</v>
      </c>
      <c r="E163" s="6">
        <f>IF(E$158&lt;&gt;0,(($B163*B$158+$C163*C$158))/E$158,0)</f>
        <v>0</v>
      </c>
      <c r="F163" s="17">
        <f>0.01*'Input'!$F$58*(D163*$D$158)+10*(B163*$B$158+C163*$C$158)</f>
        <v>0</v>
      </c>
      <c r="G163" s="6">
        <f>IF($E$158&lt;&gt;0,0.1*F163/$E$158,"")</f>
        <v>0</v>
      </c>
      <c r="H163" s="35">
        <f>IF($D$158&lt;&gt;0,F163/$D$158,"")</f>
        <v>0</v>
      </c>
      <c r="I163" s="10"/>
    </row>
    <row r="164" spans="1:9">
      <c r="A164" s="11" t="s">
        <v>452</v>
      </c>
      <c r="B164" s="7">
        <f>'Standing'!$F$77</f>
        <v>0</v>
      </c>
      <c r="C164" s="7">
        <f>'Standing'!$F$99</f>
        <v>0</v>
      </c>
      <c r="D164" s="37">
        <f>'NHH'!$F$91</f>
        <v>0</v>
      </c>
      <c r="E164" s="6">
        <f>IF(E$158&lt;&gt;0,(($B164*B$158+$C164*C$158))/E$158,0)</f>
        <v>0</v>
      </c>
      <c r="F164" s="17">
        <f>0.01*'Input'!$F$58*(D164*$D$158)+10*(B164*$B$158+C164*$C$158)</f>
        <v>0</v>
      </c>
      <c r="G164" s="6">
        <f>IF($E$158&lt;&gt;0,0.1*F164/$E$158,"")</f>
        <v>0</v>
      </c>
      <c r="H164" s="35">
        <f>IF($D$158&lt;&gt;0,F164/$D$158,"")</f>
        <v>0</v>
      </c>
      <c r="I164" s="10"/>
    </row>
    <row r="165" spans="1:9">
      <c r="A165" s="11" t="s">
        <v>453</v>
      </c>
      <c r="B165" s="7">
        <f>'Standing'!$G$77</f>
        <v>0</v>
      </c>
      <c r="C165" s="7">
        <f>'Standing'!$G$99</f>
        <v>0</v>
      </c>
      <c r="D165" s="37">
        <f>'NHH'!$G$91</f>
        <v>0</v>
      </c>
      <c r="E165" s="6">
        <f>IF(E$158&lt;&gt;0,(($B165*B$158+$C165*C$158))/E$158,0)</f>
        <v>0</v>
      </c>
      <c r="F165" s="17">
        <f>0.01*'Input'!$F$58*(D165*$D$158)+10*(B165*$B$158+C165*$C$158)</f>
        <v>0</v>
      </c>
      <c r="G165" s="6">
        <f>IF($E$158&lt;&gt;0,0.1*F165/$E$158,"")</f>
        <v>0</v>
      </c>
      <c r="H165" s="35">
        <f>IF($D$158&lt;&gt;0,F165/$D$158,"")</f>
        <v>0</v>
      </c>
      <c r="I165" s="10"/>
    </row>
    <row r="166" spans="1:9">
      <c r="A166" s="11" t="s">
        <v>454</v>
      </c>
      <c r="B166" s="7">
        <f>'Standing'!$H$77</f>
        <v>0</v>
      </c>
      <c r="C166" s="7">
        <f>'Standing'!$H$99</f>
        <v>0</v>
      </c>
      <c r="D166" s="37">
        <f>'NHH'!$H$91</f>
        <v>0</v>
      </c>
      <c r="E166" s="6">
        <f>IF(E$158&lt;&gt;0,(($B166*B$158+$C166*C$158))/E$158,0)</f>
        <v>0</v>
      </c>
      <c r="F166" s="17">
        <f>0.01*'Input'!$F$58*(D166*$D$158)+10*(B166*$B$158+C166*$C$158)</f>
        <v>0</v>
      </c>
      <c r="G166" s="6">
        <f>IF($E$158&lt;&gt;0,0.1*F166/$E$158,"")</f>
        <v>0</v>
      </c>
      <c r="H166" s="35">
        <f>IF($D$158&lt;&gt;0,F166/$D$158,"")</f>
        <v>0</v>
      </c>
      <c r="I166" s="10"/>
    </row>
    <row r="167" spans="1:9">
      <c r="A167" s="11" t="s">
        <v>455</v>
      </c>
      <c r="B167" s="7">
        <f>'Standing'!$I$77</f>
        <v>0</v>
      </c>
      <c r="C167" s="7">
        <f>'Standing'!$I$99</f>
        <v>0</v>
      </c>
      <c r="D167" s="37">
        <f>'NHH'!$I$91</f>
        <v>0</v>
      </c>
      <c r="E167" s="6">
        <f>IF(E$158&lt;&gt;0,(($B167*B$158+$C167*C$158))/E$158,0)</f>
        <v>0</v>
      </c>
      <c r="F167" s="17">
        <f>0.01*'Input'!$F$58*(D167*$D$158)+10*(B167*$B$158+C167*$C$158)</f>
        <v>0</v>
      </c>
      <c r="G167" s="6">
        <f>IF($E$158&lt;&gt;0,0.1*F167/$E$158,"")</f>
        <v>0</v>
      </c>
      <c r="H167" s="35">
        <f>IF($D$158&lt;&gt;0,F167/$D$158,"")</f>
        <v>0</v>
      </c>
      <c r="I167" s="10"/>
    </row>
    <row r="168" spans="1:9">
      <c r="A168" s="11" t="s">
        <v>456</v>
      </c>
      <c r="B168" s="7">
        <f>'Standing'!$J$77</f>
        <v>0</v>
      </c>
      <c r="C168" s="7">
        <f>'Standing'!$J$99</f>
        <v>0</v>
      </c>
      <c r="D168" s="37">
        <f>'NHH'!$J$91</f>
        <v>0</v>
      </c>
      <c r="E168" s="6">
        <f>IF(E$158&lt;&gt;0,(($B168*B$158+$C168*C$158))/E$158,0)</f>
        <v>0</v>
      </c>
      <c r="F168" s="17">
        <f>0.01*'Input'!$F$58*(D168*$D$158)+10*(B168*$B$158+C168*$C$158)</f>
        <v>0</v>
      </c>
      <c r="G168" s="6">
        <f>IF($E$158&lt;&gt;0,0.1*F168/$E$158,"")</f>
        <v>0</v>
      </c>
      <c r="H168" s="35">
        <f>IF($D$158&lt;&gt;0,F168/$D$158,"")</f>
        <v>0</v>
      </c>
      <c r="I168" s="10"/>
    </row>
    <row r="169" spans="1:9">
      <c r="A169" s="11" t="s">
        <v>1597</v>
      </c>
      <c r="B169" s="9"/>
      <c r="C169" s="9"/>
      <c r="D169" s="37">
        <f>'SM'!$B$106</f>
        <v>0</v>
      </c>
      <c r="E169" s="6">
        <f>IF(E$158&lt;&gt;0,(($B169*B$158+$C169*C$158))/E$158,0)</f>
        <v>0</v>
      </c>
      <c r="F169" s="17">
        <f>0.01*'Input'!$F$58*(D169*$D$158)+10*(B169*$B$158+C169*$C$158)</f>
        <v>0</v>
      </c>
      <c r="G169" s="6">
        <f>IF($E$158&lt;&gt;0,0.1*F169/$E$158,"")</f>
        <v>0</v>
      </c>
      <c r="H169" s="35">
        <f>IF($D$158&lt;&gt;0,F169/$D$158,"")</f>
        <v>0</v>
      </c>
      <c r="I169" s="10"/>
    </row>
    <row r="170" spans="1:9">
      <c r="A170" s="11" t="s">
        <v>1598</v>
      </c>
      <c r="B170" s="9"/>
      <c r="C170" s="9"/>
      <c r="D170" s="37">
        <f>'SM'!$C$106</f>
        <v>0</v>
      </c>
      <c r="E170" s="6">
        <f>IF(E$158&lt;&gt;0,(($B170*B$158+$C170*C$158))/E$158,0)</f>
        <v>0</v>
      </c>
      <c r="F170" s="17">
        <f>0.01*'Input'!$F$58*(D170*$D$158)+10*(B170*$B$158+C170*$C$158)</f>
        <v>0</v>
      </c>
      <c r="G170" s="6">
        <f>IF($E$158&lt;&gt;0,0.1*F170/$E$158,"")</f>
        <v>0</v>
      </c>
      <c r="H170" s="35">
        <f>IF($D$158&lt;&gt;0,F170/$D$158,"")</f>
        <v>0</v>
      </c>
      <c r="I170" s="10"/>
    </row>
    <row r="171" spans="1:9">
      <c r="A171" s="11" t="s">
        <v>1599</v>
      </c>
      <c r="B171" s="7">
        <f>'Standing'!$K$77</f>
        <v>0</v>
      </c>
      <c r="C171" s="7">
        <f>'Standing'!$K$99</f>
        <v>0</v>
      </c>
      <c r="D171" s="37">
        <f>'NHH'!$K$91</f>
        <v>0</v>
      </c>
      <c r="E171" s="6">
        <f>IF(E$158&lt;&gt;0,(($B171*B$158+$C171*C$158))/E$158,0)</f>
        <v>0</v>
      </c>
      <c r="F171" s="17">
        <f>0.01*'Input'!$F$58*(D171*$D$158)+10*(B171*$B$158+C171*$C$158)</f>
        <v>0</v>
      </c>
      <c r="G171" s="6">
        <f>IF($E$158&lt;&gt;0,0.1*F171/$E$158,"")</f>
        <v>0</v>
      </c>
      <c r="H171" s="35">
        <f>IF($D$158&lt;&gt;0,F171/$D$158,"")</f>
        <v>0</v>
      </c>
      <c r="I171" s="10"/>
    </row>
    <row r="172" spans="1:9">
      <c r="A172" s="11" t="s">
        <v>1600</v>
      </c>
      <c r="B172" s="7">
        <f>'Standing'!$L$77</f>
        <v>0</v>
      </c>
      <c r="C172" s="7">
        <f>'Standing'!$L$99</f>
        <v>0</v>
      </c>
      <c r="D172" s="37">
        <f>'NHH'!$L$91</f>
        <v>0</v>
      </c>
      <c r="E172" s="6">
        <f>IF(E$158&lt;&gt;0,(($B172*B$158+$C172*C$158))/E$158,0)</f>
        <v>0</v>
      </c>
      <c r="F172" s="17">
        <f>0.01*'Input'!$F$58*(D172*$D$158)+10*(B172*$B$158+C172*$C$158)</f>
        <v>0</v>
      </c>
      <c r="G172" s="6">
        <f>IF($E$158&lt;&gt;0,0.1*F172/$E$158,"")</f>
        <v>0</v>
      </c>
      <c r="H172" s="35">
        <f>IF($D$158&lt;&gt;0,F172/$D$158,"")</f>
        <v>0</v>
      </c>
      <c r="I172" s="10"/>
    </row>
    <row r="173" spans="1:9">
      <c r="A173" s="11" t="s">
        <v>1601</v>
      </c>
      <c r="B173" s="7">
        <f>'Standing'!$M$77</f>
        <v>0</v>
      </c>
      <c r="C173" s="7">
        <f>'Standing'!$M$99</f>
        <v>0</v>
      </c>
      <c r="D173" s="37">
        <f>'NHH'!$M$91</f>
        <v>0</v>
      </c>
      <c r="E173" s="6">
        <f>IF(E$158&lt;&gt;0,(($B173*B$158+$C173*C$158))/E$158,0)</f>
        <v>0</v>
      </c>
      <c r="F173" s="17">
        <f>0.01*'Input'!$F$58*(D173*$D$158)+10*(B173*$B$158+C173*$C$158)</f>
        <v>0</v>
      </c>
      <c r="G173" s="6">
        <f>IF($E$158&lt;&gt;0,0.1*F173/$E$158,"")</f>
        <v>0</v>
      </c>
      <c r="H173" s="35">
        <f>IF($D$158&lt;&gt;0,F173/$D$158,"")</f>
        <v>0</v>
      </c>
      <c r="I173" s="10"/>
    </row>
    <row r="174" spans="1:9">
      <c r="A174" s="11" t="s">
        <v>1602</v>
      </c>
      <c r="B174" s="7">
        <f>'Standing'!$N$77</f>
        <v>0</v>
      </c>
      <c r="C174" s="7">
        <f>'Standing'!$N$99</f>
        <v>0</v>
      </c>
      <c r="D174" s="37">
        <f>'NHH'!$N$91</f>
        <v>0</v>
      </c>
      <c r="E174" s="6">
        <f>IF(E$158&lt;&gt;0,(($B174*B$158+$C174*C$158))/E$158,0)</f>
        <v>0</v>
      </c>
      <c r="F174" s="17">
        <f>0.01*'Input'!$F$58*(D174*$D$158)+10*(B174*$B$158+C174*$C$158)</f>
        <v>0</v>
      </c>
      <c r="G174" s="6">
        <f>IF($E$158&lt;&gt;0,0.1*F174/$E$158,"")</f>
        <v>0</v>
      </c>
      <c r="H174" s="35">
        <f>IF($D$158&lt;&gt;0,F174/$D$158,"")</f>
        <v>0</v>
      </c>
      <c r="I174" s="10"/>
    </row>
    <row r="175" spans="1:9">
      <c r="A175" s="11" t="s">
        <v>1603</v>
      </c>
      <c r="B175" s="7">
        <f>'Standing'!$O$77</f>
        <v>0</v>
      </c>
      <c r="C175" s="7">
        <f>'Standing'!$O$99</f>
        <v>0</v>
      </c>
      <c r="D175" s="37">
        <f>'NHH'!$O$91</f>
        <v>0</v>
      </c>
      <c r="E175" s="6">
        <f>IF(E$158&lt;&gt;0,(($B175*B$158+$C175*C$158))/E$158,0)</f>
        <v>0</v>
      </c>
      <c r="F175" s="17">
        <f>0.01*'Input'!$F$58*(D175*$D$158)+10*(B175*$B$158+C175*$C$158)</f>
        <v>0</v>
      </c>
      <c r="G175" s="6">
        <f>IF($E$158&lt;&gt;0,0.1*F175/$E$158,"")</f>
        <v>0</v>
      </c>
      <c r="H175" s="35">
        <f>IF($D$158&lt;&gt;0,F175/$D$158,"")</f>
        <v>0</v>
      </c>
      <c r="I175" s="10"/>
    </row>
    <row r="176" spans="1:9">
      <c r="A176" s="11" t="s">
        <v>1604</v>
      </c>
      <c r="B176" s="7">
        <f>'Standing'!$P$77</f>
        <v>0</v>
      </c>
      <c r="C176" s="7">
        <f>'Standing'!$P$99</f>
        <v>0</v>
      </c>
      <c r="D176" s="37">
        <f>'NHH'!$P$91</f>
        <v>0</v>
      </c>
      <c r="E176" s="6">
        <f>IF(E$158&lt;&gt;0,(($B176*B$158+$C176*C$158))/E$158,0)</f>
        <v>0</v>
      </c>
      <c r="F176" s="17">
        <f>0.01*'Input'!$F$58*(D176*$D$158)+10*(B176*$B$158+C176*$C$158)</f>
        <v>0</v>
      </c>
      <c r="G176" s="6">
        <f>IF($E$158&lt;&gt;0,0.1*F176/$E$158,"")</f>
        <v>0</v>
      </c>
      <c r="H176" s="35">
        <f>IF($D$158&lt;&gt;0,F176/$D$158,"")</f>
        <v>0</v>
      </c>
      <c r="I176" s="10"/>
    </row>
    <row r="177" spans="1:9">
      <c r="A177" s="11" t="s">
        <v>1605</v>
      </c>
      <c r="B177" s="7">
        <f>'Standing'!$Q$77</f>
        <v>0</v>
      </c>
      <c r="C177" s="7">
        <f>'Standing'!$Q$99</f>
        <v>0</v>
      </c>
      <c r="D177" s="37">
        <f>'NHH'!$Q$91</f>
        <v>0</v>
      </c>
      <c r="E177" s="6">
        <f>IF(E$158&lt;&gt;0,(($B177*B$158+$C177*C$158))/E$158,0)</f>
        <v>0</v>
      </c>
      <c r="F177" s="17">
        <f>0.01*'Input'!$F$58*(D177*$D$158)+10*(B177*$B$158+C177*$C$158)</f>
        <v>0</v>
      </c>
      <c r="G177" s="6">
        <f>IF($E$158&lt;&gt;0,0.1*F177/$E$158,"")</f>
        <v>0</v>
      </c>
      <c r="H177" s="35">
        <f>IF($D$158&lt;&gt;0,F177/$D$158,"")</f>
        <v>0</v>
      </c>
      <c r="I177" s="10"/>
    </row>
    <row r="178" spans="1:9">
      <c r="A178" s="11" t="s">
        <v>1606</v>
      </c>
      <c r="B178" s="7">
        <f>'Standing'!$R$77</f>
        <v>0</v>
      </c>
      <c r="C178" s="7">
        <f>'Standing'!$R$99</f>
        <v>0</v>
      </c>
      <c r="D178" s="37">
        <f>'NHH'!$R$91</f>
        <v>0</v>
      </c>
      <c r="E178" s="6">
        <f>IF(E$158&lt;&gt;0,(($B178*B$158+$C178*C$158))/E$158,0)</f>
        <v>0</v>
      </c>
      <c r="F178" s="17">
        <f>0.01*'Input'!$F$58*(D178*$D$158)+10*(B178*$B$158+C178*$C$158)</f>
        <v>0</v>
      </c>
      <c r="G178" s="6">
        <f>IF($E$158&lt;&gt;0,0.1*F178/$E$158,"")</f>
        <v>0</v>
      </c>
      <c r="H178" s="35">
        <f>IF($D$158&lt;&gt;0,F178/$D$158,"")</f>
        <v>0</v>
      </c>
      <c r="I178" s="10"/>
    </row>
    <row r="179" spans="1:9">
      <c r="A179" s="11" t="s">
        <v>1607</v>
      </c>
      <c r="B179" s="7">
        <f>'Standing'!$S$77</f>
        <v>0</v>
      </c>
      <c r="C179" s="7">
        <f>'Standing'!$S$99</f>
        <v>0</v>
      </c>
      <c r="D179" s="37">
        <f>'NHH'!$S$91</f>
        <v>0</v>
      </c>
      <c r="E179" s="6">
        <f>IF(E$158&lt;&gt;0,(($B179*B$158+$C179*C$158))/E$158,0)</f>
        <v>0</v>
      </c>
      <c r="F179" s="17">
        <f>0.01*'Input'!$F$58*(D179*$D$158)+10*(B179*$B$158+C179*$C$158)</f>
        <v>0</v>
      </c>
      <c r="G179" s="6">
        <f>IF($E$158&lt;&gt;0,0.1*F179/$E$158,"")</f>
        <v>0</v>
      </c>
      <c r="H179" s="35">
        <f>IF($D$158&lt;&gt;0,F179/$D$158,"")</f>
        <v>0</v>
      </c>
      <c r="I179" s="10"/>
    </row>
    <row r="180" spans="1:9">
      <c r="A180" s="11" t="s">
        <v>1608</v>
      </c>
      <c r="B180" s="9"/>
      <c r="C180" s="9"/>
      <c r="D180" s="37">
        <f>'Otex'!$B$125</f>
        <v>0</v>
      </c>
      <c r="E180" s="6">
        <f>IF(E$158&lt;&gt;0,(($B180*B$158+$C180*C$158))/E$158,0)</f>
        <v>0</v>
      </c>
      <c r="F180" s="17">
        <f>0.01*'Input'!$F$58*(D180*$D$158)+10*(B180*$B$158+C180*$C$158)</f>
        <v>0</v>
      </c>
      <c r="G180" s="6">
        <f>IF($E$158&lt;&gt;0,0.1*F180/$E$158,"")</f>
        <v>0</v>
      </c>
      <c r="H180" s="35">
        <f>IF($D$158&lt;&gt;0,F180/$D$158,"")</f>
        <v>0</v>
      </c>
      <c r="I180" s="10"/>
    </row>
    <row r="181" spans="1:9">
      <c r="A181" s="11" t="s">
        <v>1609</v>
      </c>
      <c r="B181" s="9"/>
      <c r="C181" s="9"/>
      <c r="D181" s="37">
        <f>'Otex'!$C$125</f>
        <v>0</v>
      </c>
      <c r="E181" s="6">
        <f>IF(E$158&lt;&gt;0,(($B181*B$158+$C181*C$158))/E$158,0)</f>
        <v>0</v>
      </c>
      <c r="F181" s="17">
        <f>0.01*'Input'!$F$58*(D181*$D$158)+10*(B181*$B$158+C181*$C$158)</f>
        <v>0</v>
      </c>
      <c r="G181" s="6">
        <f>IF($E$158&lt;&gt;0,0.1*F181/$E$158,"")</f>
        <v>0</v>
      </c>
      <c r="H181" s="35">
        <f>IF($D$158&lt;&gt;0,F181/$D$158,"")</f>
        <v>0</v>
      </c>
      <c r="I181" s="10"/>
    </row>
    <row r="182" spans="1:9">
      <c r="A182" s="11" t="s">
        <v>1610</v>
      </c>
      <c r="B182" s="7">
        <f>'Adder'!$B$746</f>
        <v>0</v>
      </c>
      <c r="C182" s="7">
        <f>'Adder'!$C$746</f>
        <v>0</v>
      </c>
      <c r="D182" s="37">
        <f>'Adder'!$E$746</f>
        <v>0</v>
      </c>
      <c r="E182" s="6">
        <f>IF(E$158&lt;&gt;0,(($B182*B$158+$C182*C$158))/E$158,0)</f>
        <v>0</v>
      </c>
      <c r="F182" s="17">
        <f>0.01*'Input'!$F$58*(D182*$D$158)+10*(B182*$B$158+C182*$C$158)</f>
        <v>0</v>
      </c>
      <c r="G182" s="6">
        <f>IF($E$158&lt;&gt;0,0.1*F182/$E$158,"")</f>
        <v>0</v>
      </c>
      <c r="H182" s="35">
        <f>IF($D$158&lt;&gt;0,F182/$D$158,"")</f>
        <v>0</v>
      </c>
      <c r="I182" s="10"/>
    </row>
    <row r="183" spans="1:9">
      <c r="A183" s="11" t="s">
        <v>1611</v>
      </c>
      <c r="B183" s="7">
        <f>'Adjust'!$B$74</f>
        <v>0</v>
      </c>
      <c r="C183" s="7">
        <f>'Adjust'!$C$74</f>
        <v>0</v>
      </c>
      <c r="D183" s="37">
        <f>'Adjust'!$E$74</f>
        <v>0</v>
      </c>
      <c r="E183" s="6">
        <f>IF(E$158&lt;&gt;0,(($B183*B$158+$C183*C$158))/E$158,0)</f>
        <v>0</v>
      </c>
      <c r="F183" s="17">
        <f>0.01*'Input'!$F$58*(D183*$D$158)+10*(B183*$B$158+C183*$C$158)</f>
        <v>0</v>
      </c>
      <c r="G183" s="6">
        <f>IF($E$158&lt;&gt;0,0.1*F183/$E$158,"")</f>
        <v>0</v>
      </c>
      <c r="H183" s="35">
        <f>IF($D$158&lt;&gt;0,F183/$D$158,"")</f>
        <v>0</v>
      </c>
      <c r="I183" s="10"/>
    </row>
    <row r="185" spans="1:9">
      <c r="A185" s="11" t="s">
        <v>1612</v>
      </c>
      <c r="B185" s="6">
        <f>SUM($B$161:$B$183)</f>
        <v>0</v>
      </c>
      <c r="C185" s="6">
        <f>SUM($C$161:$C$183)</f>
        <v>0</v>
      </c>
      <c r="D185" s="35">
        <f>SUM($D$161:$D$183)</f>
        <v>0</v>
      </c>
      <c r="E185" s="6">
        <f>SUM(E$161:E$183)</f>
        <v>0</v>
      </c>
      <c r="F185" s="17">
        <f>SUM($F$161:$F$183)</f>
        <v>0</v>
      </c>
      <c r="G185" s="6">
        <f>SUM($G$161:$G$183)</f>
        <v>0</v>
      </c>
      <c r="H185" s="35">
        <f>SUM($H$161:$H$183)</f>
        <v>0</v>
      </c>
    </row>
    <row r="187" spans="1:9">
      <c r="A187" s="1" t="s">
        <v>211</v>
      </c>
    </row>
    <row r="189" spans="1:9">
      <c r="B189" s="3" t="s">
        <v>221</v>
      </c>
      <c r="C189" s="3" t="s">
        <v>1593</v>
      </c>
    </row>
    <row r="190" spans="1:9">
      <c r="A190" s="11" t="s">
        <v>211</v>
      </c>
      <c r="B190" s="33">
        <f>'Loads'!B$287</f>
        <v>0</v>
      </c>
      <c r="C190" s="33">
        <f>'Multi'!B$114</f>
        <v>0</v>
      </c>
      <c r="D190" s="10"/>
    </row>
    <row r="192" spans="1:9">
      <c r="B192" s="3" t="s">
        <v>1416</v>
      </c>
      <c r="C192" s="3" t="s">
        <v>1595</v>
      </c>
      <c r="D192" s="3" t="s">
        <v>1565</v>
      </c>
    </row>
    <row r="193" spans="1:5">
      <c r="A193" s="11" t="s">
        <v>449</v>
      </c>
      <c r="B193" s="7">
        <f>'Standing'!$C$78</f>
        <v>0</v>
      </c>
      <c r="C193" s="17">
        <f>0+10*(B193*$B$190)</f>
        <v>0</v>
      </c>
      <c r="D193" s="6">
        <f>IF($C$190&lt;&gt;0,0.1*C193/$C$190,"")</f>
        <v>0</v>
      </c>
      <c r="E193" s="10"/>
    </row>
    <row r="194" spans="1:5">
      <c r="A194" s="11" t="s">
        <v>450</v>
      </c>
      <c r="B194" s="7">
        <f>'Standing'!$D$78</f>
        <v>0</v>
      </c>
      <c r="C194" s="17">
        <f>0+10*(B194*$B$190)</f>
        <v>0</v>
      </c>
      <c r="D194" s="6">
        <f>IF($C$190&lt;&gt;0,0.1*C194/$C$190,"")</f>
        <v>0</v>
      </c>
      <c r="E194" s="10"/>
    </row>
    <row r="195" spans="1:5">
      <c r="A195" s="11" t="s">
        <v>451</v>
      </c>
      <c r="B195" s="7">
        <f>'Standing'!$E$78</f>
        <v>0</v>
      </c>
      <c r="C195" s="17">
        <f>0+10*(B195*$B$190)</f>
        <v>0</v>
      </c>
      <c r="D195" s="6">
        <f>IF($C$190&lt;&gt;0,0.1*C195/$C$190,"")</f>
        <v>0</v>
      </c>
      <c r="E195" s="10"/>
    </row>
    <row r="196" spans="1:5">
      <c r="A196" s="11" t="s">
        <v>452</v>
      </c>
      <c r="B196" s="7">
        <f>'Standing'!$F$78</f>
        <v>0</v>
      </c>
      <c r="C196" s="17">
        <f>0+10*(B196*$B$190)</f>
        <v>0</v>
      </c>
      <c r="D196" s="6">
        <f>IF($C$190&lt;&gt;0,0.1*C196/$C$190,"")</f>
        <v>0</v>
      </c>
      <c r="E196" s="10"/>
    </row>
    <row r="197" spans="1:5">
      <c r="A197" s="11" t="s">
        <v>453</v>
      </c>
      <c r="B197" s="7">
        <f>'Standing'!$G$78</f>
        <v>0</v>
      </c>
      <c r="C197" s="17">
        <f>0+10*(B197*$B$190)</f>
        <v>0</v>
      </c>
      <c r="D197" s="6">
        <f>IF($C$190&lt;&gt;0,0.1*C197/$C$190,"")</f>
        <v>0</v>
      </c>
      <c r="E197" s="10"/>
    </row>
    <row r="198" spans="1:5">
      <c r="A198" s="11" t="s">
        <v>454</v>
      </c>
      <c r="B198" s="7">
        <f>'Standing'!$H$78</f>
        <v>0</v>
      </c>
      <c r="C198" s="17">
        <f>0+10*(B198*$B$190)</f>
        <v>0</v>
      </c>
      <c r="D198" s="6">
        <f>IF($C$190&lt;&gt;0,0.1*C198/$C$190,"")</f>
        <v>0</v>
      </c>
      <c r="E198" s="10"/>
    </row>
    <row r="199" spans="1:5">
      <c r="A199" s="11" t="s">
        <v>455</v>
      </c>
      <c r="B199" s="7">
        <f>'Standing'!$I$78</f>
        <v>0</v>
      </c>
      <c r="C199" s="17">
        <f>0+10*(B199*$B$190)</f>
        <v>0</v>
      </c>
      <c r="D199" s="6">
        <f>IF($C$190&lt;&gt;0,0.1*C199/$C$190,"")</f>
        <v>0</v>
      </c>
      <c r="E199" s="10"/>
    </row>
    <row r="200" spans="1:5">
      <c r="A200" s="11" t="s">
        <v>456</v>
      </c>
      <c r="B200" s="7">
        <f>'Standing'!$J$78</f>
        <v>0</v>
      </c>
      <c r="C200" s="17">
        <f>0+10*(B200*$B$190)</f>
        <v>0</v>
      </c>
      <c r="D200" s="6">
        <f>IF($C$190&lt;&gt;0,0.1*C200/$C$190,"")</f>
        <v>0</v>
      </c>
      <c r="E200" s="10"/>
    </row>
    <row r="201" spans="1:5">
      <c r="A201" s="11" t="s">
        <v>1599</v>
      </c>
      <c r="B201" s="7">
        <f>'Standing'!$K$78</f>
        <v>0</v>
      </c>
      <c r="C201" s="17">
        <f>0+10*(B201*$B$190)</f>
        <v>0</v>
      </c>
      <c r="D201" s="6">
        <f>IF($C$190&lt;&gt;0,0.1*C201/$C$190,"")</f>
        <v>0</v>
      </c>
      <c r="E201" s="10"/>
    </row>
    <row r="202" spans="1:5">
      <c r="A202" s="11" t="s">
        <v>1600</v>
      </c>
      <c r="B202" s="7">
        <f>'Standing'!$L$78</f>
        <v>0</v>
      </c>
      <c r="C202" s="17">
        <f>0+10*(B202*$B$190)</f>
        <v>0</v>
      </c>
      <c r="D202" s="6">
        <f>IF($C$190&lt;&gt;0,0.1*C202/$C$190,"")</f>
        <v>0</v>
      </c>
      <c r="E202" s="10"/>
    </row>
    <row r="203" spans="1:5">
      <c r="A203" s="11" t="s">
        <v>1601</v>
      </c>
      <c r="B203" s="7">
        <f>'Standing'!$M$78</f>
        <v>0</v>
      </c>
      <c r="C203" s="17">
        <f>0+10*(B203*$B$190)</f>
        <v>0</v>
      </c>
      <c r="D203" s="6">
        <f>IF($C$190&lt;&gt;0,0.1*C203/$C$190,"")</f>
        <v>0</v>
      </c>
      <c r="E203" s="10"/>
    </row>
    <row r="204" spans="1:5">
      <c r="A204" s="11" t="s">
        <v>1602</v>
      </c>
      <c r="B204" s="7">
        <f>'Standing'!$N$78</f>
        <v>0</v>
      </c>
      <c r="C204" s="17">
        <f>0+10*(B204*$B$190)</f>
        <v>0</v>
      </c>
      <c r="D204" s="6">
        <f>IF($C$190&lt;&gt;0,0.1*C204/$C$190,"")</f>
        <v>0</v>
      </c>
      <c r="E204" s="10"/>
    </row>
    <row r="205" spans="1:5">
      <c r="A205" s="11" t="s">
        <v>1603</v>
      </c>
      <c r="B205" s="7">
        <f>'Standing'!$O$78</f>
        <v>0</v>
      </c>
      <c r="C205" s="17">
        <f>0+10*(B205*$B$190)</f>
        <v>0</v>
      </c>
      <c r="D205" s="6">
        <f>IF($C$190&lt;&gt;0,0.1*C205/$C$190,"")</f>
        <v>0</v>
      </c>
      <c r="E205" s="10"/>
    </row>
    <row r="206" spans="1:5">
      <c r="A206" s="11" t="s">
        <v>1604</v>
      </c>
      <c r="B206" s="7">
        <f>'Standing'!$P$78</f>
        <v>0</v>
      </c>
      <c r="C206" s="17">
        <f>0+10*(B206*$B$190)</f>
        <v>0</v>
      </c>
      <c r="D206" s="6">
        <f>IF($C$190&lt;&gt;0,0.1*C206/$C$190,"")</f>
        <v>0</v>
      </c>
      <c r="E206" s="10"/>
    </row>
    <row r="207" spans="1:5">
      <c r="A207" s="11" t="s">
        <v>1605</v>
      </c>
      <c r="B207" s="7">
        <f>'Standing'!$Q$78</f>
        <v>0</v>
      </c>
      <c r="C207" s="17">
        <f>0+10*(B207*$B$190)</f>
        <v>0</v>
      </c>
      <c r="D207" s="6">
        <f>IF($C$190&lt;&gt;0,0.1*C207/$C$190,"")</f>
        <v>0</v>
      </c>
      <c r="E207" s="10"/>
    </row>
    <row r="208" spans="1:5">
      <c r="A208" s="11" t="s">
        <v>1606</v>
      </c>
      <c r="B208" s="7">
        <f>'Standing'!$R$78</f>
        <v>0</v>
      </c>
      <c r="C208" s="17">
        <f>0+10*(B208*$B$190)</f>
        <v>0</v>
      </c>
      <c r="D208" s="6">
        <f>IF($C$190&lt;&gt;0,0.1*C208/$C$190,"")</f>
        <v>0</v>
      </c>
      <c r="E208" s="10"/>
    </row>
    <row r="209" spans="1:9">
      <c r="A209" s="11" t="s">
        <v>1607</v>
      </c>
      <c r="B209" s="7">
        <f>'Standing'!$S$78</f>
        <v>0</v>
      </c>
      <c r="C209" s="17">
        <f>0+10*(B209*$B$190)</f>
        <v>0</v>
      </c>
      <c r="D209" s="6">
        <f>IF($C$190&lt;&gt;0,0.1*C209/$C$190,"")</f>
        <v>0</v>
      </c>
      <c r="E209" s="10"/>
    </row>
    <row r="210" spans="1:9">
      <c r="A210" s="11" t="s">
        <v>1610</v>
      </c>
      <c r="B210" s="7">
        <f>'Adder'!$B$747</f>
        <v>0</v>
      </c>
      <c r="C210" s="17">
        <f>0+10*(B210*$B$190)</f>
        <v>0</v>
      </c>
      <c r="D210" s="6">
        <f>IF($C$190&lt;&gt;0,0.1*C210/$C$190,"")</f>
        <v>0</v>
      </c>
      <c r="E210" s="10"/>
    </row>
    <row r="211" spans="1:9">
      <c r="A211" s="11" t="s">
        <v>1611</v>
      </c>
      <c r="B211" s="7">
        <f>'Adjust'!$B$75</f>
        <v>0</v>
      </c>
      <c r="C211" s="17">
        <f>0+10*(B211*$B$190)</f>
        <v>0</v>
      </c>
      <c r="D211" s="6">
        <f>IF($C$190&lt;&gt;0,0.1*C211/$C$190,"")</f>
        <v>0</v>
      </c>
      <c r="E211" s="10"/>
    </row>
    <row r="213" spans="1:9">
      <c r="A213" s="11" t="s">
        <v>1612</v>
      </c>
      <c r="B213" s="6">
        <f>SUM($B$193:$B$211)</f>
        <v>0</v>
      </c>
      <c r="C213" s="17">
        <f>SUM($C$193:$C$211)</f>
        <v>0</v>
      </c>
      <c r="D213" s="6">
        <f>SUM($D$193:$D$211)</f>
        <v>0</v>
      </c>
    </row>
    <row r="215" spans="1:9">
      <c r="A215" s="1" t="s">
        <v>176</v>
      </c>
    </row>
    <row r="217" spans="1:9">
      <c r="B217" s="3" t="s">
        <v>221</v>
      </c>
      <c r="C217" s="3" t="s">
        <v>222</v>
      </c>
      <c r="D217" s="3" t="s">
        <v>224</v>
      </c>
      <c r="E217" s="3" t="s">
        <v>1593</v>
      </c>
      <c r="F217" s="3" t="s">
        <v>1594</v>
      </c>
    </row>
    <row r="218" spans="1:9">
      <c r="A218" s="11" t="s">
        <v>176</v>
      </c>
      <c r="B218" s="33">
        <f>'Loads'!B$288</f>
        <v>0</v>
      </c>
      <c r="C218" s="33">
        <f>'Loads'!C$288</f>
        <v>0</v>
      </c>
      <c r="D218" s="33">
        <f>'Loads'!E$288</f>
        <v>0</v>
      </c>
      <c r="E218" s="33">
        <f>'Multi'!B$115</f>
        <v>0</v>
      </c>
      <c r="F218" s="6">
        <f>IF(D218,E218/D218,"")</f>
        <v>0</v>
      </c>
      <c r="G218" s="10"/>
    </row>
    <row r="220" spans="1:9">
      <c r="B220" s="3" t="s">
        <v>1416</v>
      </c>
      <c r="C220" s="3" t="s">
        <v>1417</v>
      </c>
      <c r="D220" s="3" t="s">
        <v>1419</v>
      </c>
      <c r="E220" s="3" t="s">
        <v>1613</v>
      </c>
      <c r="F220" s="3" t="s">
        <v>1595</v>
      </c>
      <c r="G220" s="3" t="s">
        <v>1565</v>
      </c>
      <c r="H220" s="3" t="s">
        <v>1596</v>
      </c>
    </row>
    <row r="221" spans="1:9">
      <c r="A221" s="11" t="s">
        <v>449</v>
      </c>
      <c r="B221" s="7">
        <f>'Standing'!$C$79</f>
        <v>0</v>
      </c>
      <c r="C221" s="7">
        <f>'Standing'!$C$100</f>
        <v>0</v>
      </c>
      <c r="D221" s="37">
        <f>'NHH'!$C$92</f>
        <v>0</v>
      </c>
      <c r="E221" s="6">
        <f>IF(E$218&lt;&gt;0,(($B221*B$218+$C221*C$218))/E$218,0)</f>
        <v>0</v>
      </c>
      <c r="F221" s="17">
        <f>0.01*'Input'!$F$58*(D221*$D$218)+10*(B221*$B$218+C221*$C$218)</f>
        <v>0</v>
      </c>
      <c r="G221" s="6">
        <f>IF($E$218&lt;&gt;0,0.1*F221/$E$218,"")</f>
        <v>0</v>
      </c>
      <c r="H221" s="35">
        <f>IF($D$218&lt;&gt;0,F221/$D$218,"")</f>
        <v>0</v>
      </c>
      <c r="I221" s="10"/>
    </row>
    <row r="222" spans="1:9">
      <c r="A222" s="11" t="s">
        <v>450</v>
      </c>
      <c r="B222" s="7">
        <f>'Standing'!$D$79</f>
        <v>0</v>
      </c>
      <c r="C222" s="7">
        <f>'Standing'!$D$100</f>
        <v>0</v>
      </c>
      <c r="D222" s="37">
        <f>'NHH'!$D$92</f>
        <v>0</v>
      </c>
      <c r="E222" s="6">
        <f>IF(E$218&lt;&gt;0,(($B222*B$218+$C222*C$218))/E$218,0)</f>
        <v>0</v>
      </c>
      <c r="F222" s="17">
        <f>0.01*'Input'!$F$58*(D222*$D$218)+10*(B222*$B$218+C222*$C$218)</f>
        <v>0</v>
      </c>
      <c r="G222" s="6">
        <f>IF($E$218&lt;&gt;0,0.1*F222/$E$218,"")</f>
        <v>0</v>
      </c>
      <c r="H222" s="35">
        <f>IF($D$218&lt;&gt;0,F222/$D$218,"")</f>
        <v>0</v>
      </c>
      <c r="I222" s="10"/>
    </row>
    <row r="223" spans="1:9">
      <c r="A223" s="11" t="s">
        <v>451</v>
      </c>
      <c r="B223" s="7">
        <f>'Standing'!$E$79</f>
        <v>0</v>
      </c>
      <c r="C223" s="7">
        <f>'Standing'!$E$100</f>
        <v>0</v>
      </c>
      <c r="D223" s="37">
        <f>'NHH'!$E$92</f>
        <v>0</v>
      </c>
      <c r="E223" s="6">
        <f>IF(E$218&lt;&gt;0,(($B223*B$218+$C223*C$218))/E$218,0)</f>
        <v>0</v>
      </c>
      <c r="F223" s="17">
        <f>0.01*'Input'!$F$58*(D223*$D$218)+10*(B223*$B$218+C223*$C$218)</f>
        <v>0</v>
      </c>
      <c r="G223" s="6">
        <f>IF($E$218&lt;&gt;0,0.1*F223/$E$218,"")</f>
        <v>0</v>
      </c>
      <c r="H223" s="35">
        <f>IF($D$218&lt;&gt;0,F223/$D$218,"")</f>
        <v>0</v>
      </c>
      <c r="I223" s="10"/>
    </row>
    <row r="224" spans="1:9">
      <c r="A224" s="11" t="s">
        <v>452</v>
      </c>
      <c r="B224" s="7">
        <f>'Standing'!$F$79</f>
        <v>0</v>
      </c>
      <c r="C224" s="7">
        <f>'Standing'!$F$100</f>
        <v>0</v>
      </c>
      <c r="D224" s="37">
        <f>'NHH'!$F$92</f>
        <v>0</v>
      </c>
      <c r="E224" s="6">
        <f>IF(E$218&lt;&gt;0,(($B224*B$218+$C224*C$218))/E$218,0)</f>
        <v>0</v>
      </c>
      <c r="F224" s="17">
        <f>0.01*'Input'!$F$58*(D224*$D$218)+10*(B224*$B$218+C224*$C$218)</f>
        <v>0</v>
      </c>
      <c r="G224" s="6">
        <f>IF($E$218&lt;&gt;0,0.1*F224/$E$218,"")</f>
        <v>0</v>
      </c>
      <c r="H224" s="35">
        <f>IF($D$218&lt;&gt;0,F224/$D$218,"")</f>
        <v>0</v>
      </c>
      <c r="I224" s="10"/>
    </row>
    <row r="225" spans="1:9">
      <c r="A225" s="11" t="s">
        <v>453</v>
      </c>
      <c r="B225" s="7">
        <f>'Standing'!$G$79</f>
        <v>0</v>
      </c>
      <c r="C225" s="7">
        <f>'Standing'!$G$100</f>
        <v>0</v>
      </c>
      <c r="D225" s="37">
        <f>'NHH'!$G$92</f>
        <v>0</v>
      </c>
      <c r="E225" s="6">
        <f>IF(E$218&lt;&gt;0,(($B225*B$218+$C225*C$218))/E$218,0)</f>
        <v>0</v>
      </c>
      <c r="F225" s="17">
        <f>0.01*'Input'!$F$58*(D225*$D$218)+10*(B225*$B$218+C225*$C$218)</f>
        <v>0</v>
      </c>
      <c r="G225" s="6">
        <f>IF($E$218&lt;&gt;0,0.1*F225/$E$218,"")</f>
        <v>0</v>
      </c>
      <c r="H225" s="35">
        <f>IF($D$218&lt;&gt;0,F225/$D$218,"")</f>
        <v>0</v>
      </c>
      <c r="I225" s="10"/>
    </row>
    <row r="226" spans="1:9">
      <c r="A226" s="11" t="s">
        <v>454</v>
      </c>
      <c r="B226" s="7">
        <f>'Standing'!$H$79</f>
        <v>0</v>
      </c>
      <c r="C226" s="7">
        <f>'Standing'!$H$100</f>
        <v>0</v>
      </c>
      <c r="D226" s="37">
        <f>'NHH'!$H$92</f>
        <v>0</v>
      </c>
      <c r="E226" s="6">
        <f>IF(E$218&lt;&gt;0,(($B226*B$218+$C226*C$218))/E$218,0)</f>
        <v>0</v>
      </c>
      <c r="F226" s="17">
        <f>0.01*'Input'!$F$58*(D226*$D$218)+10*(B226*$B$218+C226*$C$218)</f>
        <v>0</v>
      </c>
      <c r="G226" s="6">
        <f>IF($E$218&lt;&gt;0,0.1*F226/$E$218,"")</f>
        <v>0</v>
      </c>
      <c r="H226" s="35">
        <f>IF($D$218&lt;&gt;0,F226/$D$218,"")</f>
        <v>0</v>
      </c>
      <c r="I226" s="10"/>
    </row>
    <row r="227" spans="1:9">
      <c r="A227" s="11" t="s">
        <v>455</v>
      </c>
      <c r="B227" s="7">
        <f>'Standing'!$I$79</f>
        <v>0</v>
      </c>
      <c r="C227" s="7">
        <f>'Standing'!$I$100</f>
        <v>0</v>
      </c>
      <c r="D227" s="37">
        <f>'NHH'!$I$92</f>
        <v>0</v>
      </c>
      <c r="E227" s="6">
        <f>IF(E$218&lt;&gt;0,(($B227*B$218+$C227*C$218))/E$218,0)</f>
        <v>0</v>
      </c>
      <c r="F227" s="17">
        <f>0.01*'Input'!$F$58*(D227*$D$218)+10*(B227*$B$218+C227*$C$218)</f>
        <v>0</v>
      </c>
      <c r="G227" s="6">
        <f>IF($E$218&lt;&gt;0,0.1*F227/$E$218,"")</f>
        <v>0</v>
      </c>
      <c r="H227" s="35">
        <f>IF($D$218&lt;&gt;0,F227/$D$218,"")</f>
        <v>0</v>
      </c>
      <c r="I227" s="10"/>
    </row>
    <row r="228" spans="1:9">
      <c r="A228" s="11" t="s">
        <v>456</v>
      </c>
      <c r="B228" s="7">
        <f>'Standing'!$J$79</f>
        <v>0</v>
      </c>
      <c r="C228" s="7">
        <f>'Standing'!$J$100</f>
        <v>0</v>
      </c>
      <c r="D228" s="37">
        <f>'NHH'!$J$92</f>
        <v>0</v>
      </c>
      <c r="E228" s="6">
        <f>IF(E$218&lt;&gt;0,(($B228*B$218+$C228*C$218))/E$218,0)</f>
        <v>0</v>
      </c>
      <c r="F228" s="17">
        <f>0.01*'Input'!$F$58*(D228*$D$218)+10*(B228*$B$218+C228*$C$218)</f>
        <v>0</v>
      </c>
      <c r="G228" s="6">
        <f>IF($E$218&lt;&gt;0,0.1*F228/$E$218,"")</f>
        <v>0</v>
      </c>
      <c r="H228" s="35">
        <f>IF($D$218&lt;&gt;0,F228/$D$218,"")</f>
        <v>0</v>
      </c>
      <c r="I228" s="10"/>
    </row>
    <row r="229" spans="1:9">
      <c r="A229" s="11" t="s">
        <v>1597</v>
      </c>
      <c r="B229" s="9"/>
      <c r="C229" s="9"/>
      <c r="D229" s="37">
        <f>'SM'!$B$108</f>
        <v>0</v>
      </c>
      <c r="E229" s="6">
        <f>IF(E$218&lt;&gt;0,(($B229*B$218+$C229*C$218))/E$218,0)</f>
        <v>0</v>
      </c>
      <c r="F229" s="17">
        <f>0.01*'Input'!$F$58*(D229*$D$218)+10*(B229*$B$218+C229*$C$218)</f>
        <v>0</v>
      </c>
      <c r="G229" s="6">
        <f>IF($E$218&lt;&gt;0,0.1*F229/$E$218,"")</f>
        <v>0</v>
      </c>
      <c r="H229" s="35">
        <f>IF($D$218&lt;&gt;0,F229/$D$218,"")</f>
        <v>0</v>
      </c>
      <c r="I229" s="10"/>
    </row>
    <row r="230" spans="1:9">
      <c r="A230" s="11" t="s">
        <v>1598</v>
      </c>
      <c r="B230" s="9"/>
      <c r="C230" s="9"/>
      <c r="D230" s="37">
        <f>'SM'!$C$108</f>
        <v>0</v>
      </c>
      <c r="E230" s="6">
        <f>IF(E$218&lt;&gt;0,(($B230*B$218+$C230*C$218))/E$218,0)</f>
        <v>0</v>
      </c>
      <c r="F230" s="17">
        <f>0.01*'Input'!$F$58*(D230*$D$218)+10*(B230*$B$218+C230*$C$218)</f>
        <v>0</v>
      </c>
      <c r="G230" s="6">
        <f>IF($E$218&lt;&gt;0,0.1*F230/$E$218,"")</f>
        <v>0</v>
      </c>
      <c r="H230" s="35">
        <f>IF($D$218&lt;&gt;0,F230/$D$218,"")</f>
        <v>0</v>
      </c>
      <c r="I230" s="10"/>
    </row>
    <row r="231" spans="1:9">
      <c r="A231" s="11" t="s">
        <v>1599</v>
      </c>
      <c r="B231" s="7">
        <f>'Standing'!$K$79</f>
        <v>0</v>
      </c>
      <c r="C231" s="7">
        <f>'Standing'!$K$100</f>
        <v>0</v>
      </c>
      <c r="D231" s="37">
        <f>'NHH'!$K$92</f>
        <v>0</v>
      </c>
      <c r="E231" s="6">
        <f>IF(E$218&lt;&gt;0,(($B231*B$218+$C231*C$218))/E$218,0)</f>
        <v>0</v>
      </c>
      <c r="F231" s="17">
        <f>0.01*'Input'!$F$58*(D231*$D$218)+10*(B231*$B$218+C231*$C$218)</f>
        <v>0</v>
      </c>
      <c r="G231" s="6">
        <f>IF($E$218&lt;&gt;0,0.1*F231/$E$218,"")</f>
        <v>0</v>
      </c>
      <c r="H231" s="35">
        <f>IF($D$218&lt;&gt;0,F231/$D$218,"")</f>
        <v>0</v>
      </c>
      <c r="I231" s="10"/>
    </row>
    <row r="232" spans="1:9">
      <c r="A232" s="11" t="s">
        <v>1600</v>
      </c>
      <c r="B232" s="7">
        <f>'Standing'!$L$79</f>
        <v>0</v>
      </c>
      <c r="C232" s="7">
        <f>'Standing'!$L$100</f>
        <v>0</v>
      </c>
      <c r="D232" s="37">
        <f>'NHH'!$L$92</f>
        <v>0</v>
      </c>
      <c r="E232" s="6">
        <f>IF(E$218&lt;&gt;0,(($B232*B$218+$C232*C$218))/E$218,0)</f>
        <v>0</v>
      </c>
      <c r="F232" s="17">
        <f>0.01*'Input'!$F$58*(D232*$D$218)+10*(B232*$B$218+C232*$C$218)</f>
        <v>0</v>
      </c>
      <c r="G232" s="6">
        <f>IF($E$218&lt;&gt;0,0.1*F232/$E$218,"")</f>
        <v>0</v>
      </c>
      <c r="H232" s="35">
        <f>IF($D$218&lt;&gt;0,F232/$D$218,"")</f>
        <v>0</v>
      </c>
      <c r="I232" s="10"/>
    </row>
    <row r="233" spans="1:9">
      <c r="A233" s="11" t="s">
        <v>1601</v>
      </c>
      <c r="B233" s="7">
        <f>'Standing'!$M$79</f>
        <v>0</v>
      </c>
      <c r="C233" s="7">
        <f>'Standing'!$M$100</f>
        <v>0</v>
      </c>
      <c r="D233" s="37">
        <f>'NHH'!$M$92</f>
        <v>0</v>
      </c>
      <c r="E233" s="6">
        <f>IF(E$218&lt;&gt;0,(($B233*B$218+$C233*C$218))/E$218,0)</f>
        <v>0</v>
      </c>
      <c r="F233" s="17">
        <f>0.01*'Input'!$F$58*(D233*$D$218)+10*(B233*$B$218+C233*$C$218)</f>
        <v>0</v>
      </c>
      <c r="G233" s="6">
        <f>IF($E$218&lt;&gt;0,0.1*F233/$E$218,"")</f>
        <v>0</v>
      </c>
      <c r="H233" s="35">
        <f>IF($D$218&lt;&gt;0,F233/$D$218,"")</f>
        <v>0</v>
      </c>
      <c r="I233" s="10"/>
    </row>
    <row r="234" spans="1:9">
      <c r="A234" s="11" t="s">
        <v>1602</v>
      </c>
      <c r="B234" s="7">
        <f>'Standing'!$N$79</f>
        <v>0</v>
      </c>
      <c r="C234" s="7">
        <f>'Standing'!$N$100</f>
        <v>0</v>
      </c>
      <c r="D234" s="37">
        <f>'NHH'!$N$92</f>
        <v>0</v>
      </c>
      <c r="E234" s="6">
        <f>IF(E$218&lt;&gt;0,(($B234*B$218+$C234*C$218))/E$218,0)</f>
        <v>0</v>
      </c>
      <c r="F234" s="17">
        <f>0.01*'Input'!$F$58*(D234*$D$218)+10*(B234*$B$218+C234*$C$218)</f>
        <v>0</v>
      </c>
      <c r="G234" s="6">
        <f>IF($E$218&lt;&gt;0,0.1*F234/$E$218,"")</f>
        <v>0</v>
      </c>
      <c r="H234" s="35">
        <f>IF($D$218&lt;&gt;0,F234/$D$218,"")</f>
        <v>0</v>
      </c>
      <c r="I234" s="10"/>
    </row>
    <row r="235" spans="1:9">
      <c r="A235" s="11" t="s">
        <v>1603</v>
      </c>
      <c r="B235" s="7">
        <f>'Standing'!$O$79</f>
        <v>0</v>
      </c>
      <c r="C235" s="7">
        <f>'Standing'!$O$100</f>
        <v>0</v>
      </c>
      <c r="D235" s="37">
        <f>'NHH'!$O$92</f>
        <v>0</v>
      </c>
      <c r="E235" s="6">
        <f>IF(E$218&lt;&gt;0,(($B235*B$218+$C235*C$218))/E$218,0)</f>
        <v>0</v>
      </c>
      <c r="F235" s="17">
        <f>0.01*'Input'!$F$58*(D235*$D$218)+10*(B235*$B$218+C235*$C$218)</f>
        <v>0</v>
      </c>
      <c r="G235" s="6">
        <f>IF($E$218&lt;&gt;0,0.1*F235/$E$218,"")</f>
        <v>0</v>
      </c>
      <c r="H235" s="35">
        <f>IF($D$218&lt;&gt;0,F235/$D$218,"")</f>
        <v>0</v>
      </c>
      <c r="I235" s="10"/>
    </row>
    <row r="236" spans="1:9">
      <c r="A236" s="11" t="s">
        <v>1604</v>
      </c>
      <c r="B236" s="7">
        <f>'Standing'!$P$79</f>
        <v>0</v>
      </c>
      <c r="C236" s="7">
        <f>'Standing'!$P$100</f>
        <v>0</v>
      </c>
      <c r="D236" s="37">
        <f>'NHH'!$P$92</f>
        <v>0</v>
      </c>
      <c r="E236" s="6">
        <f>IF(E$218&lt;&gt;0,(($B236*B$218+$C236*C$218))/E$218,0)</f>
        <v>0</v>
      </c>
      <c r="F236" s="17">
        <f>0.01*'Input'!$F$58*(D236*$D$218)+10*(B236*$B$218+C236*$C$218)</f>
        <v>0</v>
      </c>
      <c r="G236" s="6">
        <f>IF($E$218&lt;&gt;0,0.1*F236/$E$218,"")</f>
        <v>0</v>
      </c>
      <c r="H236" s="35">
        <f>IF($D$218&lt;&gt;0,F236/$D$218,"")</f>
        <v>0</v>
      </c>
      <c r="I236" s="10"/>
    </row>
    <row r="237" spans="1:9">
      <c r="A237" s="11" t="s">
        <v>1605</v>
      </c>
      <c r="B237" s="7">
        <f>'Standing'!$Q$79</f>
        <v>0</v>
      </c>
      <c r="C237" s="7">
        <f>'Standing'!$Q$100</f>
        <v>0</v>
      </c>
      <c r="D237" s="37">
        <f>'NHH'!$Q$92</f>
        <v>0</v>
      </c>
      <c r="E237" s="6">
        <f>IF(E$218&lt;&gt;0,(($B237*B$218+$C237*C$218))/E$218,0)</f>
        <v>0</v>
      </c>
      <c r="F237" s="17">
        <f>0.01*'Input'!$F$58*(D237*$D$218)+10*(B237*$B$218+C237*$C$218)</f>
        <v>0</v>
      </c>
      <c r="G237" s="6">
        <f>IF($E$218&lt;&gt;0,0.1*F237/$E$218,"")</f>
        <v>0</v>
      </c>
      <c r="H237" s="35">
        <f>IF($D$218&lt;&gt;0,F237/$D$218,"")</f>
        <v>0</v>
      </c>
      <c r="I237" s="10"/>
    </row>
    <row r="238" spans="1:9">
      <c r="A238" s="11" t="s">
        <v>1606</v>
      </c>
      <c r="B238" s="7">
        <f>'Standing'!$R$79</f>
        <v>0</v>
      </c>
      <c r="C238" s="7">
        <f>'Standing'!$R$100</f>
        <v>0</v>
      </c>
      <c r="D238" s="37">
        <f>'NHH'!$R$92</f>
        <v>0</v>
      </c>
      <c r="E238" s="6">
        <f>IF(E$218&lt;&gt;0,(($B238*B$218+$C238*C$218))/E$218,0)</f>
        <v>0</v>
      </c>
      <c r="F238" s="17">
        <f>0.01*'Input'!$F$58*(D238*$D$218)+10*(B238*$B$218+C238*$C$218)</f>
        <v>0</v>
      </c>
      <c r="G238" s="6">
        <f>IF($E$218&lt;&gt;0,0.1*F238/$E$218,"")</f>
        <v>0</v>
      </c>
      <c r="H238" s="35">
        <f>IF($D$218&lt;&gt;0,F238/$D$218,"")</f>
        <v>0</v>
      </c>
      <c r="I238" s="10"/>
    </row>
    <row r="239" spans="1:9">
      <c r="A239" s="11" t="s">
        <v>1607</v>
      </c>
      <c r="B239" s="7">
        <f>'Standing'!$S$79</f>
        <v>0</v>
      </c>
      <c r="C239" s="7">
        <f>'Standing'!$S$100</f>
        <v>0</v>
      </c>
      <c r="D239" s="37">
        <f>'NHH'!$S$92</f>
        <v>0</v>
      </c>
      <c r="E239" s="6">
        <f>IF(E$218&lt;&gt;0,(($B239*B$218+$C239*C$218))/E$218,0)</f>
        <v>0</v>
      </c>
      <c r="F239" s="17">
        <f>0.01*'Input'!$F$58*(D239*$D$218)+10*(B239*$B$218+C239*$C$218)</f>
        <v>0</v>
      </c>
      <c r="G239" s="6">
        <f>IF($E$218&lt;&gt;0,0.1*F239/$E$218,"")</f>
        <v>0</v>
      </c>
      <c r="H239" s="35">
        <f>IF($D$218&lt;&gt;0,F239/$D$218,"")</f>
        <v>0</v>
      </c>
      <c r="I239" s="10"/>
    </row>
    <row r="240" spans="1:9">
      <c r="A240" s="11" t="s">
        <v>1608</v>
      </c>
      <c r="B240" s="9"/>
      <c r="C240" s="9"/>
      <c r="D240" s="37">
        <f>'Otex'!$B$127</f>
        <v>0</v>
      </c>
      <c r="E240" s="6">
        <f>IF(E$218&lt;&gt;0,(($B240*B$218+$C240*C$218))/E$218,0)</f>
        <v>0</v>
      </c>
      <c r="F240" s="17">
        <f>0.01*'Input'!$F$58*(D240*$D$218)+10*(B240*$B$218+C240*$C$218)</f>
        <v>0</v>
      </c>
      <c r="G240" s="6">
        <f>IF($E$218&lt;&gt;0,0.1*F240/$E$218,"")</f>
        <v>0</v>
      </c>
      <c r="H240" s="35">
        <f>IF($D$218&lt;&gt;0,F240/$D$218,"")</f>
        <v>0</v>
      </c>
      <c r="I240" s="10"/>
    </row>
    <row r="241" spans="1:9">
      <c r="A241" s="11" t="s">
        <v>1609</v>
      </c>
      <c r="B241" s="9"/>
      <c r="C241" s="9"/>
      <c r="D241" s="37">
        <f>'Otex'!$C$127</f>
        <v>0</v>
      </c>
      <c r="E241" s="6">
        <f>IF(E$218&lt;&gt;0,(($B241*B$218+$C241*C$218))/E$218,0)</f>
        <v>0</v>
      </c>
      <c r="F241" s="17">
        <f>0.01*'Input'!$F$58*(D241*$D$218)+10*(B241*$B$218+C241*$C$218)</f>
        <v>0</v>
      </c>
      <c r="G241" s="6">
        <f>IF($E$218&lt;&gt;0,0.1*F241/$E$218,"")</f>
        <v>0</v>
      </c>
      <c r="H241" s="35">
        <f>IF($D$218&lt;&gt;0,F241/$D$218,"")</f>
        <v>0</v>
      </c>
      <c r="I241" s="10"/>
    </row>
    <row r="242" spans="1:9">
      <c r="A242" s="11" t="s">
        <v>1610</v>
      </c>
      <c r="B242" s="7">
        <f>'Adder'!$B$748</f>
        <v>0</v>
      </c>
      <c r="C242" s="7">
        <f>'Adder'!$C$748</f>
        <v>0</v>
      </c>
      <c r="D242" s="37">
        <f>'Adder'!$E$748</f>
        <v>0</v>
      </c>
      <c r="E242" s="6">
        <f>IF(E$218&lt;&gt;0,(($B242*B$218+$C242*C$218))/E$218,0)</f>
        <v>0</v>
      </c>
      <c r="F242" s="17">
        <f>0.01*'Input'!$F$58*(D242*$D$218)+10*(B242*$B$218+C242*$C$218)</f>
        <v>0</v>
      </c>
      <c r="G242" s="6">
        <f>IF($E$218&lt;&gt;0,0.1*F242/$E$218,"")</f>
        <v>0</v>
      </c>
      <c r="H242" s="35">
        <f>IF($D$218&lt;&gt;0,F242/$D$218,"")</f>
        <v>0</v>
      </c>
      <c r="I242" s="10"/>
    </row>
    <row r="243" spans="1:9">
      <c r="A243" s="11" t="s">
        <v>1611</v>
      </c>
      <c r="B243" s="7">
        <f>'Adjust'!$B$76</f>
        <v>0</v>
      </c>
      <c r="C243" s="7">
        <f>'Adjust'!$C$76</f>
        <v>0</v>
      </c>
      <c r="D243" s="37">
        <f>'Adjust'!$E$76</f>
        <v>0</v>
      </c>
      <c r="E243" s="6">
        <f>IF(E$218&lt;&gt;0,(($B243*B$218+$C243*C$218))/E$218,0)</f>
        <v>0</v>
      </c>
      <c r="F243" s="17">
        <f>0.01*'Input'!$F$58*(D243*$D$218)+10*(B243*$B$218+C243*$C$218)</f>
        <v>0</v>
      </c>
      <c r="G243" s="6">
        <f>IF($E$218&lt;&gt;0,0.1*F243/$E$218,"")</f>
        <v>0</v>
      </c>
      <c r="H243" s="35">
        <f>IF($D$218&lt;&gt;0,F243/$D$218,"")</f>
        <v>0</v>
      </c>
      <c r="I243" s="10"/>
    </row>
    <row r="245" spans="1:9">
      <c r="A245" s="11" t="s">
        <v>1612</v>
      </c>
      <c r="B245" s="6">
        <f>SUM($B$221:$B$243)</f>
        <v>0</v>
      </c>
      <c r="C245" s="6">
        <f>SUM($C$221:$C$243)</f>
        <v>0</v>
      </c>
      <c r="D245" s="35">
        <f>SUM($D$221:$D$243)</f>
        <v>0</v>
      </c>
      <c r="E245" s="6">
        <f>SUM(E$221:E$243)</f>
        <v>0</v>
      </c>
      <c r="F245" s="17">
        <f>SUM($F$221:$F$243)</f>
        <v>0</v>
      </c>
      <c r="G245" s="6">
        <f>SUM($G$221:$G$243)</f>
        <v>0</v>
      </c>
      <c r="H245" s="35">
        <f>SUM($H$221:$H$243)</f>
        <v>0</v>
      </c>
    </row>
    <row r="247" spans="1:9">
      <c r="A247" s="1" t="s">
        <v>177</v>
      </c>
    </row>
    <row r="249" spans="1:9">
      <c r="B249" s="3" t="s">
        <v>221</v>
      </c>
      <c r="C249" s="3" t="s">
        <v>222</v>
      </c>
      <c r="D249" s="3" t="s">
        <v>224</v>
      </c>
      <c r="E249" s="3" t="s">
        <v>1593</v>
      </c>
      <c r="F249" s="3" t="s">
        <v>1594</v>
      </c>
    </row>
    <row r="250" spans="1:9">
      <c r="A250" s="11" t="s">
        <v>177</v>
      </c>
      <c r="B250" s="33">
        <f>'Loads'!B$289</f>
        <v>0</v>
      </c>
      <c r="C250" s="33">
        <f>'Loads'!C$289</f>
        <v>0</v>
      </c>
      <c r="D250" s="33">
        <f>'Loads'!E$289</f>
        <v>0</v>
      </c>
      <c r="E250" s="33">
        <f>'Multi'!B$116</f>
        <v>0</v>
      </c>
      <c r="F250" s="6">
        <f>IF(D250,E250/D250,"")</f>
        <v>0</v>
      </c>
      <c r="G250" s="10"/>
    </row>
    <row r="252" spans="1:9">
      <c r="B252" s="3" t="s">
        <v>1416</v>
      </c>
      <c r="C252" s="3" t="s">
        <v>1417</v>
      </c>
      <c r="D252" s="3" t="s">
        <v>1419</v>
      </c>
      <c r="E252" s="3" t="s">
        <v>1613</v>
      </c>
      <c r="F252" s="3" t="s">
        <v>1595</v>
      </c>
      <c r="G252" s="3" t="s">
        <v>1565</v>
      </c>
      <c r="H252" s="3" t="s">
        <v>1596</v>
      </c>
    </row>
    <row r="253" spans="1:9">
      <c r="A253" s="11" t="s">
        <v>449</v>
      </c>
      <c r="B253" s="7">
        <f>'Standing'!$C$80</f>
        <v>0</v>
      </c>
      <c r="C253" s="7">
        <f>'Standing'!$C$101</f>
        <v>0</v>
      </c>
      <c r="D253" s="37">
        <f>'NHH'!$C$93</f>
        <v>0</v>
      </c>
      <c r="E253" s="6">
        <f>IF(E$250&lt;&gt;0,(($B253*B$250+$C253*C$250))/E$250,0)</f>
        <v>0</v>
      </c>
      <c r="F253" s="17">
        <f>0.01*'Input'!$F$58*(D253*$D$250)+10*(B253*$B$250+C253*$C$250)</f>
        <v>0</v>
      </c>
      <c r="G253" s="6">
        <f>IF($E$250&lt;&gt;0,0.1*F253/$E$250,"")</f>
        <v>0</v>
      </c>
      <c r="H253" s="35">
        <f>IF($D$250&lt;&gt;0,F253/$D$250,"")</f>
        <v>0</v>
      </c>
      <c r="I253" s="10"/>
    </row>
    <row r="254" spans="1:9">
      <c r="A254" s="11" t="s">
        <v>450</v>
      </c>
      <c r="B254" s="7">
        <f>'Standing'!$D$80</f>
        <v>0</v>
      </c>
      <c r="C254" s="7">
        <f>'Standing'!$D$101</f>
        <v>0</v>
      </c>
      <c r="D254" s="37">
        <f>'NHH'!$D$93</f>
        <v>0</v>
      </c>
      <c r="E254" s="6">
        <f>IF(E$250&lt;&gt;0,(($B254*B$250+$C254*C$250))/E$250,0)</f>
        <v>0</v>
      </c>
      <c r="F254" s="17">
        <f>0.01*'Input'!$F$58*(D254*$D$250)+10*(B254*$B$250+C254*$C$250)</f>
        <v>0</v>
      </c>
      <c r="G254" s="6">
        <f>IF($E$250&lt;&gt;0,0.1*F254/$E$250,"")</f>
        <v>0</v>
      </c>
      <c r="H254" s="35">
        <f>IF($D$250&lt;&gt;0,F254/$D$250,"")</f>
        <v>0</v>
      </c>
      <c r="I254" s="10"/>
    </row>
    <row r="255" spans="1:9">
      <c r="A255" s="11" t="s">
        <v>451</v>
      </c>
      <c r="B255" s="7">
        <f>'Standing'!$E$80</f>
        <v>0</v>
      </c>
      <c r="C255" s="7">
        <f>'Standing'!$E$101</f>
        <v>0</v>
      </c>
      <c r="D255" s="37">
        <f>'NHH'!$E$93</f>
        <v>0</v>
      </c>
      <c r="E255" s="6">
        <f>IF(E$250&lt;&gt;0,(($B255*B$250+$C255*C$250))/E$250,0)</f>
        <v>0</v>
      </c>
      <c r="F255" s="17">
        <f>0.01*'Input'!$F$58*(D255*$D$250)+10*(B255*$B$250+C255*$C$250)</f>
        <v>0</v>
      </c>
      <c r="G255" s="6">
        <f>IF($E$250&lt;&gt;0,0.1*F255/$E$250,"")</f>
        <v>0</v>
      </c>
      <c r="H255" s="35">
        <f>IF($D$250&lt;&gt;0,F255/$D$250,"")</f>
        <v>0</v>
      </c>
      <c r="I255" s="10"/>
    </row>
    <row r="256" spans="1:9">
      <c r="A256" s="11" t="s">
        <v>452</v>
      </c>
      <c r="B256" s="7">
        <f>'Standing'!$F$80</f>
        <v>0</v>
      </c>
      <c r="C256" s="7">
        <f>'Standing'!$F$101</f>
        <v>0</v>
      </c>
      <c r="D256" s="37">
        <f>'NHH'!$F$93</f>
        <v>0</v>
      </c>
      <c r="E256" s="6">
        <f>IF(E$250&lt;&gt;0,(($B256*B$250+$C256*C$250))/E$250,0)</f>
        <v>0</v>
      </c>
      <c r="F256" s="17">
        <f>0.01*'Input'!$F$58*(D256*$D$250)+10*(B256*$B$250+C256*$C$250)</f>
        <v>0</v>
      </c>
      <c r="G256" s="6">
        <f>IF($E$250&lt;&gt;0,0.1*F256/$E$250,"")</f>
        <v>0</v>
      </c>
      <c r="H256" s="35">
        <f>IF($D$250&lt;&gt;0,F256/$D$250,"")</f>
        <v>0</v>
      </c>
      <c r="I256" s="10"/>
    </row>
    <row r="257" spans="1:9">
      <c r="A257" s="11" t="s">
        <v>453</v>
      </c>
      <c r="B257" s="7">
        <f>'Standing'!$G$80</f>
        <v>0</v>
      </c>
      <c r="C257" s="7">
        <f>'Standing'!$G$101</f>
        <v>0</v>
      </c>
      <c r="D257" s="37">
        <f>'NHH'!$G$93</f>
        <v>0</v>
      </c>
      <c r="E257" s="6">
        <f>IF(E$250&lt;&gt;0,(($B257*B$250+$C257*C$250))/E$250,0)</f>
        <v>0</v>
      </c>
      <c r="F257" s="17">
        <f>0.01*'Input'!$F$58*(D257*$D$250)+10*(B257*$B$250+C257*$C$250)</f>
        <v>0</v>
      </c>
      <c r="G257" s="6">
        <f>IF($E$250&lt;&gt;0,0.1*F257/$E$250,"")</f>
        <v>0</v>
      </c>
      <c r="H257" s="35">
        <f>IF($D$250&lt;&gt;0,F257/$D$250,"")</f>
        <v>0</v>
      </c>
      <c r="I257" s="10"/>
    </row>
    <row r="258" spans="1:9">
      <c r="A258" s="11" t="s">
        <v>454</v>
      </c>
      <c r="B258" s="7">
        <f>'Standing'!$H$80</f>
        <v>0</v>
      </c>
      <c r="C258" s="7">
        <f>'Standing'!$H$101</f>
        <v>0</v>
      </c>
      <c r="D258" s="37">
        <f>'NHH'!$H$93</f>
        <v>0</v>
      </c>
      <c r="E258" s="6">
        <f>IF(E$250&lt;&gt;0,(($B258*B$250+$C258*C$250))/E$250,0)</f>
        <v>0</v>
      </c>
      <c r="F258" s="17">
        <f>0.01*'Input'!$F$58*(D258*$D$250)+10*(B258*$B$250+C258*$C$250)</f>
        <v>0</v>
      </c>
      <c r="G258" s="6">
        <f>IF($E$250&lt;&gt;0,0.1*F258/$E$250,"")</f>
        <v>0</v>
      </c>
      <c r="H258" s="35">
        <f>IF($D$250&lt;&gt;0,F258/$D$250,"")</f>
        <v>0</v>
      </c>
      <c r="I258" s="10"/>
    </row>
    <row r="259" spans="1:9">
      <c r="A259" s="11" t="s">
        <v>455</v>
      </c>
      <c r="B259" s="7">
        <f>'Standing'!$I$80</f>
        <v>0</v>
      </c>
      <c r="C259" s="7">
        <f>'Standing'!$I$101</f>
        <v>0</v>
      </c>
      <c r="D259" s="37">
        <f>'NHH'!$I$93</f>
        <v>0</v>
      </c>
      <c r="E259" s="6">
        <f>IF(E$250&lt;&gt;0,(($B259*B$250+$C259*C$250))/E$250,0)</f>
        <v>0</v>
      </c>
      <c r="F259" s="17">
        <f>0.01*'Input'!$F$58*(D259*$D$250)+10*(B259*$B$250+C259*$C$250)</f>
        <v>0</v>
      </c>
      <c r="G259" s="6">
        <f>IF($E$250&lt;&gt;0,0.1*F259/$E$250,"")</f>
        <v>0</v>
      </c>
      <c r="H259" s="35">
        <f>IF($D$250&lt;&gt;0,F259/$D$250,"")</f>
        <v>0</v>
      </c>
      <c r="I259" s="10"/>
    </row>
    <row r="260" spans="1:9">
      <c r="A260" s="11" t="s">
        <v>456</v>
      </c>
      <c r="B260" s="7">
        <f>'Standing'!$J$80</f>
        <v>0</v>
      </c>
      <c r="C260" s="7">
        <f>'Standing'!$J$101</f>
        <v>0</v>
      </c>
      <c r="D260" s="37">
        <f>'NHH'!$J$93</f>
        <v>0</v>
      </c>
      <c r="E260" s="6">
        <f>IF(E$250&lt;&gt;0,(($B260*B$250+$C260*C$250))/E$250,0)</f>
        <v>0</v>
      </c>
      <c r="F260" s="17">
        <f>0.01*'Input'!$F$58*(D260*$D$250)+10*(B260*$B$250+C260*$C$250)</f>
        <v>0</v>
      </c>
      <c r="G260" s="6">
        <f>IF($E$250&lt;&gt;0,0.1*F260/$E$250,"")</f>
        <v>0</v>
      </c>
      <c r="H260" s="35">
        <f>IF($D$250&lt;&gt;0,F260/$D$250,"")</f>
        <v>0</v>
      </c>
      <c r="I260" s="10"/>
    </row>
    <row r="261" spans="1:9">
      <c r="A261" s="11" t="s">
        <v>1597</v>
      </c>
      <c r="B261" s="9"/>
      <c r="C261" s="9"/>
      <c r="D261" s="37">
        <f>'SM'!$B$109</f>
        <v>0</v>
      </c>
      <c r="E261" s="6">
        <f>IF(E$250&lt;&gt;0,(($B261*B$250+$C261*C$250))/E$250,0)</f>
        <v>0</v>
      </c>
      <c r="F261" s="17">
        <f>0.01*'Input'!$F$58*(D261*$D$250)+10*(B261*$B$250+C261*$C$250)</f>
        <v>0</v>
      </c>
      <c r="G261" s="6">
        <f>IF($E$250&lt;&gt;0,0.1*F261/$E$250,"")</f>
        <v>0</v>
      </c>
      <c r="H261" s="35">
        <f>IF($D$250&lt;&gt;0,F261/$D$250,"")</f>
        <v>0</v>
      </c>
      <c r="I261" s="10"/>
    </row>
    <row r="262" spans="1:9">
      <c r="A262" s="11" t="s">
        <v>1598</v>
      </c>
      <c r="B262" s="9"/>
      <c r="C262" s="9"/>
      <c r="D262" s="37">
        <f>'SM'!$C$109</f>
        <v>0</v>
      </c>
      <c r="E262" s="6">
        <f>IF(E$250&lt;&gt;0,(($B262*B$250+$C262*C$250))/E$250,0)</f>
        <v>0</v>
      </c>
      <c r="F262" s="17">
        <f>0.01*'Input'!$F$58*(D262*$D$250)+10*(B262*$B$250+C262*$C$250)</f>
        <v>0</v>
      </c>
      <c r="G262" s="6">
        <f>IF($E$250&lt;&gt;0,0.1*F262/$E$250,"")</f>
        <v>0</v>
      </c>
      <c r="H262" s="35">
        <f>IF($D$250&lt;&gt;0,F262/$D$250,"")</f>
        <v>0</v>
      </c>
      <c r="I262" s="10"/>
    </row>
    <row r="263" spans="1:9">
      <c r="A263" s="11" t="s">
        <v>1599</v>
      </c>
      <c r="B263" s="7">
        <f>'Standing'!$K$80</f>
        <v>0</v>
      </c>
      <c r="C263" s="7">
        <f>'Standing'!$K$101</f>
        <v>0</v>
      </c>
      <c r="D263" s="37">
        <f>'NHH'!$K$93</f>
        <v>0</v>
      </c>
      <c r="E263" s="6">
        <f>IF(E$250&lt;&gt;0,(($B263*B$250+$C263*C$250))/E$250,0)</f>
        <v>0</v>
      </c>
      <c r="F263" s="17">
        <f>0.01*'Input'!$F$58*(D263*$D$250)+10*(B263*$B$250+C263*$C$250)</f>
        <v>0</v>
      </c>
      <c r="G263" s="6">
        <f>IF($E$250&lt;&gt;0,0.1*F263/$E$250,"")</f>
        <v>0</v>
      </c>
      <c r="H263" s="35">
        <f>IF($D$250&lt;&gt;0,F263/$D$250,"")</f>
        <v>0</v>
      </c>
      <c r="I263" s="10"/>
    </row>
    <row r="264" spans="1:9">
      <c r="A264" s="11" t="s">
        <v>1600</v>
      </c>
      <c r="B264" s="7">
        <f>'Standing'!$L$80</f>
        <v>0</v>
      </c>
      <c r="C264" s="7">
        <f>'Standing'!$L$101</f>
        <v>0</v>
      </c>
      <c r="D264" s="37">
        <f>'NHH'!$L$93</f>
        <v>0</v>
      </c>
      <c r="E264" s="6">
        <f>IF(E$250&lt;&gt;0,(($B264*B$250+$C264*C$250))/E$250,0)</f>
        <v>0</v>
      </c>
      <c r="F264" s="17">
        <f>0.01*'Input'!$F$58*(D264*$D$250)+10*(B264*$B$250+C264*$C$250)</f>
        <v>0</v>
      </c>
      <c r="G264" s="6">
        <f>IF($E$250&lt;&gt;0,0.1*F264/$E$250,"")</f>
        <v>0</v>
      </c>
      <c r="H264" s="35">
        <f>IF($D$250&lt;&gt;0,F264/$D$250,"")</f>
        <v>0</v>
      </c>
      <c r="I264" s="10"/>
    </row>
    <row r="265" spans="1:9">
      <c r="A265" s="11" t="s">
        <v>1601</v>
      </c>
      <c r="B265" s="7">
        <f>'Standing'!$M$80</f>
        <v>0</v>
      </c>
      <c r="C265" s="7">
        <f>'Standing'!$M$101</f>
        <v>0</v>
      </c>
      <c r="D265" s="37">
        <f>'NHH'!$M$93</f>
        <v>0</v>
      </c>
      <c r="E265" s="6">
        <f>IF(E$250&lt;&gt;0,(($B265*B$250+$C265*C$250))/E$250,0)</f>
        <v>0</v>
      </c>
      <c r="F265" s="17">
        <f>0.01*'Input'!$F$58*(D265*$D$250)+10*(B265*$B$250+C265*$C$250)</f>
        <v>0</v>
      </c>
      <c r="G265" s="6">
        <f>IF($E$250&lt;&gt;0,0.1*F265/$E$250,"")</f>
        <v>0</v>
      </c>
      <c r="H265" s="35">
        <f>IF($D$250&lt;&gt;0,F265/$D$250,"")</f>
        <v>0</v>
      </c>
      <c r="I265" s="10"/>
    </row>
    <row r="266" spans="1:9">
      <c r="A266" s="11" t="s">
        <v>1602</v>
      </c>
      <c r="B266" s="7">
        <f>'Standing'!$N$80</f>
        <v>0</v>
      </c>
      <c r="C266" s="7">
        <f>'Standing'!$N$101</f>
        <v>0</v>
      </c>
      <c r="D266" s="37">
        <f>'NHH'!$N$93</f>
        <v>0</v>
      </c>
      <c r="E266" s="6">
        <f>IF(E$250&lt;&gt;0,(($B266*B$250+$C266*C$250))/E$250,0)</f>
        <v>0</v>
      </c>
      <c r="F266" s="17">
        <f>0.01*'Input'!$F$58*(D266*$D$250)+10*(B266*$B$250+C266*$C$250)</f>
        <v>0</v>
      </c>
      <c r="G266" s="6">
        <f>IF($E$250&lt;&gt;0,0.1*F266/$E$250,"")</f>
        <v>0</v>
      </c>
      <c r="H266" s="35">
        <f>IF($D$250&lt;&gt;0,F266/$D$250,"")</f>
        <v>0</v>
      </c>
      <c r="I266" s="10"/>
    </row>
    <row r="267" spans="1:9">
      <c r="A267" s="11" t="s">
        <v>1603</v>
      </c>
      <c r="B267" s="7">
        <f>'Standing'!$O$80</f>
        <v>0</v>
      </c>
      <c r="C267" s="7">
        <f>'Standing'!$O$101</f>
        <v>0</v>
      </c>
      <c r="D267" s="37">
        <f>'NHH'!$O$93</f>
        <v>0</v>
      </c>
      <c r="E267" s="6">
        <f>IF(E$250&lt;&gt;0,(($B267*B$250+$C267*C$250))/E$250,0)</f>
        <v>0</v>
      </c>
      <c r="F267" s="17">
        <f>0.01*'Input'!$F$58*(D267*$D$250)+10*(B267*$B$250+C267*$C$250)</f>
        <v>0</v>
      </c>
      <c r="G267" s="6">
        <f>IF($E$250&lt;&gt;0,0.1*F267/$E$250,"")</f>
        <v>0</v>
      </c>
      <c r="H267" s="35">
        <f>IF($D$250&lt;&gt;0,F267/$D$250,"")</f>
        <v>0</v>
      </c>
      <c r="I267" s="10"/>
    </row>
    <row r="268" spans="1:9">
      <c r="A268" s="11" t="s">
        <v>1604</v>
      </c>
      <c r="B268" s="7">
        <f>'Standing'!$P$80</f>
        <v>0</v>
      </c>
      <c r="C268" s="7">
        <f>'Standing'!$P$101</f>
        <v>0</v>
      </c>
      <c r="D268" s="37">
        <f>'NHH'!$P$93</f>
        <v>0</v>
      </c>
      <c r="E268" s="6">
        <f>IF(E$250&lt;&gt;0,(($B268*B$250+$C268*C$250))/E$250,0)</f>
        <v>0</v>
      </c>
      <c r="F268" s="17">
        <f>0.01*'Input'!$F$58*(D268*$D$250)+10*(B268*$B$250+C268*$C$250)</f>
        <v>0</v>
      </c>
      <c r="G268" s="6">
        <f>IF($E$250&lt;&gt;0,0.1*F268/$E$250,"")</f>
        <v>0</v>
      </c>
      <c r="H268" s="35">
        <f>IF($D$250&lt;&gt;0,F268/$D$250,"")</f>
        <v>0</v>
      </c>
      <c r="I268" s="10"/>
    </row>
    <row r="269" spans="1:9">
      <c r="A269" s="11" t="s">
        <v>1605</v>
      </c>
      <c r="B269" s="7">
        <f>'Standing'!$Q$80</f>
        <v>0</v>
      </c>
      <c r="C269" s="7">
        <f>'Standing'!$Q$101</f>
        <v>0</v>
      </c>
      <c r="D269" s="37">
        <f>'NHH'!$Q$93</f>
        <v>0</v>
      </c>
      <c r="E269" s="6">
        <f>IF(E$250&lt;&gt;0,(($B269*B$250+$C269*C$250))/E$250,0)</f>
        <v>0</v>
      </c>
      <c r="F269" s="17">
        <f>0.01*'Input'!$F$58*(D269*$D$250)+10*(B269*$B$250+C269*$C$250)</f>
        <v>0</v>
      </c>
      <c r="G269" s="6">
        <f>IF($E$250&lt;&gt;0,0.1*F269/$E$250,"")</f>
        <v>0</v>
      </c>
      <c r="H269" s="35">
        <f>IF($D$250&lt;&gt;0,F269/$D$250,"")</f>
        <v>0</v>
      </c>
      <c r="I269" s="10"/>
    </row>
    <row r="270" spans="1:9">
      <c r="A270" s="11" t="s">
        <v>1606</v>
      </c>
      <c r="B270" s="7">
        <f>'Standing'!$R$80</f>
        <v>0</v>
      </c>
      <c r="C270" s="7">
        <f>'Standing'!$R$101</f>
        <v>0</v>
      </c>
      <c r="D270" s="37">
        <f>'NHH'!$R$93</f>
        <v>0</v>
      </c>
      <c r="E270" s="6">
        <f>IF(E$250&lt;&gt;0,(($B270*B$250+$C270*C$250))/E$250,0)</f>
        <v>0</v>
      </c>
      <c r="F270" s="17">
        <f>0.01*'Input'!$F$58*(D270*$D$250)+10*(B270*$B$250+C270*$C$250)</f>
        <v>0</v>
      </c>
      <c r="G270" s="6">
        <f>IF($E$250&lt;&gt;0,0.1*F270/$E$250,"")</f>
        <v>0</v>
      </c>
      <c r="H270" s="35">
        <f>IF($D$250&lt;&gt;0,F270/$D$250,"")</f>
        <v>0</v>
      </c>
      <c r="I270" s="10"/>
    </row>
    <row r="271" spans="1:9">
      <c r="A271" s="11" t="s">
        <v>1607</v>
      </c>
      <c r="B271" s="7">
        <f>'Standing'!$S$80</f>
        <v>0</v>
      </c>
      <c r="C271" s="7">
        <f>'Standing'!$S$101</f>
        <v>0</v>
      </c>
      <c r="D271" s="37">
        <f>'NHH'!$S$93</f>
        <v>0</v>
      </c>
      <c r="E271" s="6">
        <f>IF(E$250&lt;&gt;0,(($B271*B$250+$C271*C$250))/E$250,0)</f>
        <v>0</v>
      </c>
      <c r="F271" s="17">
        <f>0.01*'Input'!$F$58*(D271*$D$250)+10*(B271*$B$250+C271*$C$250)</f>
        <v>0</v>
      </c>
      <c r="G271" s="6">
        <f>IF($E$250&lt;&gt;0,0.1*F271/$E$250,"")</f>
        <v>0</v>
      </c>
      <c r="H271" s="35">
        <f>IF($D$250&lt;&gt;0,F271/$D$250,"")</f>
        <v>0</v>
      </c>
      <c r="I271" s="10"/>
    </row>
    <row r="272" spans="1:9">
      <c r="A272" s="11" t="s">
        <v>1608</v>
      </c>
      <c r="B272" s="9"/>
      <c r="C272" s="9"/>
      <c r="D272" s="37">
        <f>'Otex'!$B$128</f>
        <v>0</v>
      </c>
      <c r="E272" s="6">
        <f>IF(E$250&lt;&gt;0,(($B272*B$250+$C272*C$250))/E$250,0)</f>
        <v>0</v>
      </c>
      <c r="F272" s="17">
        <f>0.01*'Input'!$F$58*(D272*$D$250)+10*(B272*$B$250+C272*$C$250)</f>
        <v>0</v>
      </c>
      <c r="G272" s="6">
        <f>IF($E$250&lt;&gt;0,0.1*F272/$E$250,"")</f>
        <v>0</v>
      </c>
      <c r="H272" s="35">
        <f>IF($D$250&lt;&gt;0,F272/$D$250,"")</f>
        <v>0</v>
      </c>
      <c r="I272" s="10"/>
    </row>
    <row r="273" spans="1:9">
      <c r="A273" s="11" t="s">
        <v>1609</v>
      </c>
      <c r="B273" s="9"/>
      <c r="C273" s="9"/>
      <c r="D273" s="37">
        <f>'Otex'!$C$128</f>
        <v>0</v>
      </c>
      <c r="E273" s="6">
        <f>IF(E$250&lt;&gt;0,(($B273*B$250+$C273*C$250))/E$250,0)</f>
        <v>0</v>
      </c>
      <c r="F273" s="17">
        <f>0.01*'Input'!$F$58*(D273*$D$250)+10*(B273*$B$250+C273*$C$250)</f>
        <v>0</v>
      </c>
      <c r="G273" s="6">
        <f>IF($E$250&lt;&gt;0,0.1*F273/$E$250,"")</f>
        <v>0</v>
      </c>
      <c r="H273" s="35">
        <f>IF($D$250&lt;&gt;0,F273/$D$250,"")</f>
        <v>0</v>
      </c>
      <c r="I273" s="10"/>
    </row>
    <row r="274" spans="1:9">
      <c r="A274" s="11" t="s">
        <v>1610</v>
      </c>
      <c r="B274" s="7">
        <f>'Adder'!$B$749</f>
        <v>0</v>
      </c>
      <c r="C274" s="7">
        <f>'Adder'!$C$749</f>
        <v>0</v>
      </c>
      <c r="D274" s="37">
        <f>'Adder'!$E$749</f>
        <v>0</v>
      </c>
      <c r="E274" s="6">
        <f>IF(E$250&lt;&gt;0,(($B274*B$250+$C274*C$250))/E$250,0)</f>
        <v>0</v>
      </c>
      <c r="F274" s="17">
        <f>0.01*'Input'!$F$58*(D274*$D$250)+10*(B274*$B$250+C274*$C$250)</f>
        <v>0</v>
      </c>
      <c r="G274" s="6">
        <f>IF($E$250&lt;&gt;0,0.1*F274/$E$250,"")</f>
        <v>0</v>
      </c>
      <c r="H274" s="35">
        <f>IF($D$250&lt;&gt;0,F274/$D$250,"")</f>
        <v>0</v>
      </c>
      <c r="I274" s="10"/>
    </row>
    <row r="275" spans="1:9">
      <c r="A275" s="11" t="s">
        <v>1611</v>
      </c>
      <c r="B275" s="7">
        <f>'Adjust'!$B$77</f>
        <v>0</v>
      </c>
      <c r="C275" s="7">
        <f>'Adjust'!$C$77</f>
        <v>0</v>
      </c>
      <c r="D275" s="37">
        <f>'Adjust'!$E$77</f>
        <v>0</v>
      </c>
      <c r="E275" s="6">
        <f>IF(E$250&lt;&gt;0,(($B275*B$250+$C275*C$250))/E$250,0)</f>
        <v>0</v>
      </c>
      <c r="F275" s="17">
        <f>0.01*'Input'!$F$58*(D275*$D$250)+10*(B275*$B$250+C275*$C$250)</f>
        <v>0</v>
      </c>
      <c r="G275" s="6">
        <f>IF($E$250&lt;&gt;0,0.1*F275/$E$250,"")</f>
        <v>0</v>
      </c>
      <c r="H275" s="35">
        <f>IF($D$250&lt;&gt;0,F275/$D$250,"")</f>
        <v>0</v>
      </c>
      <c r="I275" s="10"/>
    </row>
    <row r="277" spans="1:9">
      <c r="A277" s="11" t="s">
        <v>1612</v>
      </c>
      <c r="B277" s="6">
        <f>SUM($B$253:$B$275)</f>
        <v>0</v>
      </c>
      <c r="C277" s="6">
        <f>SUM($C$253:$C$275)</f>
        <v>0</v>
      </c>
      <c r="D277" s="35">
        <f>SUM($D$253:$D$275)</f>
        <v>0</v>
      </c>
      <c r="E277" s="6">
        <f>SUM(E$253:E$275)</f>
        <v>0</v>
      </c>
      <c r="F277" s="17">
        <f>SUM($F$253:$F$275)</f>
        <v>0</v>
      </c>
      <c r="G277" s="6">
        <f>SUM($G$253:$G$275)</f>
        <v>0</v>
      </c>
      <c r="H277" s="35">
        <f>SUM($H$253:$H$275)</f>
        <v>0</v>
      </c>
    </row>
    <row r="279" spans="1:9">
      <c r="A279" s="1" t="s">
        <v>191</v>
      </c>
    </row>
    <row r="281" spans="1:9">
      <c r="B281" s="3" t="s">
        <v>221</v>
      </c>
      <c r="C281" s="3" t="s">
        <v>222</v>
      </c>
      <c r="D281" s="3" t="s">
        <v>224</v>
      </c>
      <c r="E281" s="3" t="s">
        <v>1593</v>
      </c>
      <c r="F281" s="3" t="s">
        <v>1594</v>
      </c>
    </row>
    <row r="282" spans="1:9">
      <c r="A282" s="11" t="s">
        <v>191</v>
      </c>
      <c r="B282" s="33">
        <f>'Loads'!B$290</f>
        <v>0</v>
      </c>
      <c r="C282" s="33">
        <f>'Loads'!C$290</f>
        <v>0</v>
      </c>
      <c r="D282" s="33">
        <f>'Loads'!E$290</f>
        <v>0</v>
      </c>
      <c r="E282" s="33">
        <f>'Multi'!B$117</f>
        <v>0</v>
      </c>
      <c r="F282" s="6">
        <f>IF(D282,E282/D282,"")</f>
        <v>0</v>
      </c>
      <c r="G282" s="10"/>
    </row>
    <row r="284" spans="1:9">
      <c r="B284" s="3" t="s">
        <v>1416</v>
      </c>
      <c r="C284" s="3" t="s">
        <v>1417</v>
      </c>
      <c r="D284" s="3" t="s">
        <v>1419</v>
      </c>
      <c r="E284" s="3" t="s">
        <v>1613</v>
      </c>
      <c r="F284" s="3" t="s">
        <v>1595</v>
      </c>
      <c r="G284" s="3" t="s">
        <v>1565</v>
      </c>
      <c r="H284" s="3" t="s">
        <v>1596</v>
      </c>
    </row>
    <row r="285" spans="1:9">
      <c r="A285" s="11" t="s">
        <v>449</v>
      </c>
      <c r="B285" s="7">
        <f>'Standing'!$C$81</f>
        <v>0</v>
      </c>
      <c r="C285" s="7">
        <f>'Standing'!$C$102</f>
        <v>0</v>
      </c>
      <c r="D285" s="37">
        <f>'NHH'!$C$94</f>
        <v>0</v>
      </c>
      <c r="E285" s="6">
        <f>IF(E$282&lt;&gt;0,(($B285*B$282+$C285*C$282))/E$282,0)</f>
        <v>0</v>
      </c>
      <c r="F285" s="17">
        <f>0.01*'Input'!$F$58*(D285*$D$282)+10*(B285*$B$282+C285*$C$282)</f>
        <v>0</v>
      </c>
      <c r="G285" s="6">
        <f>IF($E$282&lt;&gt;0,0.1*F285/$E$282,"")</f>
        <v>0</v>
      </c>
      <c r="H285" s="35">
        <f>IF($D$282&lt;&gt;0,F285/$D$282,"")</f>
        <v>0</v>
      </c>
      <c r="I285" s="10"/>
    </row>
    <row r="286" spans="1:9">
      <c r="A286" s="11" t="s">
        <v>450</v>
      </c>
      <c r="B286" s="7">
        <f>'Standing'!$D$81</f>
        <v>0</v>
      </c>
      <c r="C286" s="7">
        <f>'Standing'!$D$102</f>
        <v>0</v>
      </c>
      <c r="D286" s="37">
        <f>'NHH'!$D$94</f>
        <v>0</v>
      </c>
      <c r="E286" s="6">
        <f>IF(E$282&lt;&gt;0,(($B286*B$282+$C286*C$282))/E$282,0)</f>
        <v>0</v>
      </c>
      <c r="F286" s="17">
        <f>0.01*'Input'!$F$58*(D286*$D$282)+10*(B286*$B$282+C286*$C$282)</f>
        <v>0</v>
      </c>
      <c r="G286" s="6">
        <f>IF($E$282&lt;&gt;0,0.1*F286/$E$282,"")</f>
        <v>0</v>
      </c>
      <c r="H286" s="35">
        <f>IF($D$282&lt;&gt;0,F286/$D$282,"")</f>
        <v>0</v>
      </c>
      <c r="I286" s="10"/>
    </row>
    <row r="287" spans="1:9">
      <c r="A287" s="11" t="s">
        <v>451</v>
      </c>
      <c r="B287" s="7">
        <f>'Standing'!$E$81</f>
        <v>0</v>
      </c>
      <c r="C287" s="7">
        <f>'Standing'!$E$102</f>
        <v>0</v>
      </c>
      <c r="D287" s="37">
        <f>'NHH'!$E$94</f>
        <v>0</v>
      </c>
      <c r="E287" s="6">
        <f>IF(E$282&lt;&gt;0,(($B287*B$282+$C287*C$282))/E$282,0)</f>
        <v>0</v>
      </c>
      <c r="F287" s="17">
        <f>0.01*'Input'!$F$58*(D287*$D$282)+10*(B287*$B$282+C287*$C$282)</f>
        <v>0</v>
      </c>
      <c r="G287" s="6">
        <f>IF($E$282&lt;&gt;0,0.1*F287/$E$282,"")</f>
        <v>0</v>
      </c>
      <c r="H287" s="35">
        <f>IF($D$282&lt;&gt;0,F287/$D$282,"")</f>
        <v>0</v>
      </c>
      <c r="I287" s="10"/>
    </row>
    <row r="288" spans="1:9">
      <c r="A288" s="11" t="s">
        <v>452</v>
      </c>
      <c r="B288" s="7">
        <f>'Standing'!$F$81</f>
        <v>0</v>
      </c>
      <c r="C288" s="7">
        <f>'Standing'!$F$102</f>
        <v>0</v>
      </c>
      <c r="D288" s="37">
        <f>'NHH'!$F$94</f>
        <v>0</v>
      </c>
      <c r="E288" s="6">
        <f>IF(E$282&lt;&gt;0,(($B288*B$282+$C288*C$282))/E$282,0)</f>
        <v>0</v>
      </c>
      <c r="F288" s="17">
        <f>0.01*'Input'!$F$58*(D288*$D$282)+10*(B288*$B$282+C288*$C$282)</f>
        <v>0</v>
      </c>
      <c r="G288" s="6">
        <f>IF($E$282&lt;&gt;0,0.1*F288/$E$282,"")</f>
        <v>0</v>
      </c>
      <c r="H288" s="35">
        <f>IF($D$282&lt;&gt;0,F288/$D$282,"")</f>
        <v>0</v>
      </c>
      <c r="I288" s="10"/>
    </row>
    <row r="289" spans="1:9">
      <c r="A289" s="11" t="s">
        <v>453</v>
      </c>
      <c r="B289" s="7">
        <f>'Standing'!$G$81</f>
        <v>0</v>
      </c>
      <c r="C289" s="7">
        <f>'Standing'!$G$102</f>
        <v>0</v>
      </c>
      <c r="D289" s="37">
        <f>'NHH'!$G$94</f>
        <v>0</v>
      </c>
      <c r="E289" s="6">
        <f>IF(E$282&lt;&gt;0,(($B289*B$282+$C289*C$282))/E$282,0)</f>
        <v>0</v>
      </c>
      <c r="F289" s="17">
        <f>0.01*'Input'!$F$58*(D289*$D$282)+10*(B289*$B$282+C289*$C$282)</f>
        <v>0</v>
      </c>
      <c r="G289" s="6">
        <f>IF($E$282&lt;&gt;0,0.1*F289/$E$282,"")</f>
        <v>0</v>
      </c>
      <c r="H289" s="35">
        <f>IF($D$282&lt;&gt;0,F289/$D$282,"")</f>
        <v>0</v>
      </c>
      <c r="I289" s="10"/>
    </row>
    <row r="290" spans="1:9">
      <c r="A290" s="11" t="s">
        <v>454</v>
      </c>
      <c r="B290" s="7">
        <f>'Standing'!$H$81</f>
        <v>0</v>
      </c>
      <c r="C290" s="7">
        <f>'Standing'!$H$102</f>
        <v>0</v>
      </c>
      <c r="D290" s="37">
        <f>'NHH'!$H$94</f>
        <v>0</v>
      </c>
      <c r="E290" s="6">
        <f>IF(E$282&lt;&gt;0,(($B290*B$282+$C290*C$282))/E$282,0)</f>
        <v>0</v>
      </c>
      <c r="F290" s="17">
        <f>0.01*'Input'!$F$58*(D290*$D$282)+10*(B290*$B$282+C290*$C$282)</f>
        <v>0</v>
      </c>
      <c r="G290" s="6">
        <f>IF($E$282&lt;&gt;0,0.1*F290/$E$282,"")</f>
        <v>0</v>
      </c>
      <c r="H290" s="35">
        <f>IF($D$282&lt;&gt;0,F290/$D$282,"")</f>
        <v>0</v>
      </c>
      <c r="I290" s="10"/>
    </row>
    <row r="291" spans="1:9">
      <c r="A291" s="11" t="s">
        <v>455</v>
      </c>
      <c r="B291" s="7">
        <f>'Standing'!$I$81</f>
        <v>0</v>
      </c>
      <c r="C291" s="7">
        <f>'Standing'!$I$102</f>
        <v>0</v>
      </c>
      <c r="D291" s="37">
        <f>'NHH'!$I$94</f>
        <v>0</v>
      </c>
      <c r="E291" s="6">
        <f>IF(E$282&lt;&gt;0,(($B291*B$282+$C291*C$282))/E$282,0)</f>
        <v>0</v>
      </c>
      <c r="F291" s="17">
        <f>0.01*'Input'!$F$58*(D291*$D$282)+10*(B291*$B$282+C291*$C$282)</f>
        <v>0</v>
      </c>
      <c r="G291" s="6">
        <f>IF($E$282&lt;&gt;0,0.1*F291/$E$282,"")</f>
        <v>0</v>
      </c>
      <c r="H291" s="35">
        <f>IF($D$282&lt;&gt;0,F291/$D$282,"")</f>
        <v>0</v>
      </c>
      <c r="I291" s="10"/>
    </row>
    <row r="292" spans="1:9">
      <c r="A292" s="11" t="s">
        <v>456</v>
      </c>
      <c r="B292" s="7">
        <f>'Standing'!$J$81</f>
        <v>0</v>
      </c>
      <c r="C292" s="7">
        <f>'Standing'!$J$102</f>
        <v>0</v>
      </c>
      <c r="D292" s="37">
        <f>'NHH'!$J$94</f>
        <v>0</v>
      </c>
      <c r="E292" s="6">
        <f>IF(E$282&lt;&gt;0,(($B292*B$282+$C292*C$282))/E$282,0)</f>
        <v>0</v>
      </c>
      <c r="F292" s="17">
        <f>0.01*'Input'!$F$58*(D292*$D$282)+10*(B292*$B$282+C292*$C$282)</f>
        <v>0</v>
      </c>
      <c r="G292" s="6">
        <f>IF($E$282&lt;&gt;0,0.1*F292/$E$282,"")</f>
        <v>0</v>
      </c>
      <c r="H292" s="35">
        <f>IF($D$282&lt;&gt;0,F292/$D$282,"")</f>
        <v>0</v>
      </c>
      <c r="I292" s="10"/>
    </row>
    <row r="293" spans="1:9">
      <c r="A293" s="11" t="s">
        <v>1597</v>
      </c>
      <c r="B293" s="9"/>
      <c r="C293" s="9"/>
      <c r="D293" s="37">
        <f>'SM'!$B$110</f>
        <v>0</v>
      </c>
      <c r="E293" s="6">
        <f>IF(E$282&lt;&gt;0,(($B293*B$282+$C293*C$282))/E$282,0)</f>
        <v>0</v>
      </c>
      <c r="F293" s="17">
        <f>0.01*'Input'!$F$58*(D293*$D$282)+10*(B293*$B$282+C293*$C$282)</f>
        <v>0</v>
      </c>
      <c r="G293" s="6">
        <f>IF($E$282&lt;&gt;0,0.1*F293/$E$282,"")</f>
        <v>0</v>
      </c>
      <c r="H293" s="35">
        <f>IF($D$282&lt;&gt;0,F293/$D$282,"")</f>
        <v>0</v>
      </c>
      <c r="I293" s="10"/>
    </row>
    <row r="294" spans="1:9">
      <c r="A294" s="11" t="s">
        <v>1598</v>
      </c>
      <c r="B294" s="9"/>
      <c r="C294" s="9"/>
      <c r="D294" s="37">
        <f>'SM'!$C$110</f>
        <v>0</v>
      </c>
      <c r="E294" s="6">
        <f>IF(E$282&lt;&gt;0,(($B294*B$282+$C294*C$282))/E$282,0)</f>
        <v>0</v>
      </c>
      <c r="F294" s="17">
        <f>0.01*'Input'!$F$58*(D294*$D$282)+10*(B294*$B$282+C294*$C$282)</f>
        <v>0</v>
      </c>
      <c r="G294" s="6">
        <f>IF($E$282&lt;&gt;0,0.1*F294/$E$282,"")</f>
        <v>0</v>
      </c>
      <c r="H294" s="35">
        <f>IF($D$282&lt;&gt;0,F294/$D$282,"")</f>
        <v>0</v>
      </c>
      <c r="I294" s="10"/>
    </row>
    <row r="295" spans="1:9">
      <c r="A295" s="11" t="s">
        <v>1599</v>
      </c>
      <c r="B295" s="7">
        <f>'Standing'!$K$81</f>
        <v>0</v>
      </c>
      <c r="C295" s="7">
        <f>'Standing'!$K$102</f>
        <v>0</v>
      </c>
      <c r="D295" s="37">
        <f>'NHH'!$K$94</f>
        <v>0</v>
      </c>
      <c r="E295" s="6">
        <f>IF(E$282&lt;&gt;0,(($B295*B$282+$C295*C$282))/E$282,0)</f>
        <v>0</v>
      </c>
      <c r="F295" s="17">
        <f>0.01*'Input'!$F$58*(D295*$D$282)+10*(B295*$B$282+C295*$C$282)</f>
        <v>0</v>
      </c>
      <c r="G295" s="6">
        <f>IF($E$282&lt;&gt;0,0.1*F295/$E$282,"")</f>
        <v>0</v>
      </c>
      <c r="H295" s="35">
        <f>IF($D$282&lt;&gt;0,F295/$D$282,"")</f>
        <v>0</v>
      </c>
      <c r="I295" s="10"/>
    </row>
    <row r="296" spans="1:9">
      <c r="A296" s="11" t="s">
        <v>1600</v>
      </c>
      <c r="B296" s="7">
        <f>'Standing'!$L$81</f>
        <v>0</v>
      </c>
      <c r="C296" s="7">
        <f>'Standing'!$L$102</f>
        <v>0</v>
      </c>
      <c r="D296" s="37">
        <f>'NHH'!$L$94</f>
        <v>0</v>
      </c>
      <c r="E296" s="6">
        <f>IF(E$282&lt;&gt;0,(($B296*B$282+$C296*C$282))/E$282,0)</f>
        <v>0</v>
      </c>
      <c r="F296" s="17">
        <f>0.01*'Input'!$F$58*(D296*$D$282)+10*(B296*$B$282+C296*$C$282)</f>
        <v>0</v>
      </c>
      <c r="G296" s="6">
        <f>IF($E$282&lt;&gt;0,0.1*F296/$E$282,"")</f>
        <v>0</v>
      </c>
      <c r="H296" s="35">
        <f>IF($D$282&lt;&gt;0,F296/$D$282,"")</f>
        <v>0</v>
      </c>
      <c r="I296" s="10"/>
    </row>
    <row r="297" spans="1:9">
      <c r="A297" s="11" t="s">
        <v>1601</v>
      </c>
      <c r="B297" s="7">
        <f>'Standing'!$M$81</f>
        <v>0</v>
      </c>
      <c r="C297" s="7">
        <f>'Standing'!$M$102</f>
        <v>0</v>
      </c>
      <c r="D297" s="37">
        <f>'NHH'!$M$94</f>
        <v>0</v>
      </c>
      <c r="E297" s="6">
        <f>IF(E$282&lt;&gt;0,(($B297*B$282+$C297*C$282))/E$282,0)</f>
        <v>0</v>
      </c>
      <c r="F297" s="17">
        <f>0.01*'Input'!$F$58*(D297*$D$282)+10*(B297*$B$282+C297*$C$282)</f>
        <v>0</v>
      </c>
      <c r="G297" s="6">
        <f>IF($E$282&lt;&gt;0,0.1*F297/$E$282,"")</f>
        <v>0</v>
      </c>
      <c r="H297" s="35">
        <f>IF($D$282&lt;&gt;0,F297/$D$282,"")</f>
        <v>0</v>
      </c>
      <c r="I297" s="10"/>
    </row>
    <row r="298" spans="1:9">
      <c r="A298" s="11" t="s">
        <v>1602</v>
      </c>
      <c r="B298" s="7">
        <f>'Standing'!$N$81</f>
        <v>0</v>
      </c>
      <c r="C298" s="7">
        <f>'Standing'!$N$102</f>
        <v>0</v>
      </c>
      <c r="D298" s="37">
        <f>'NHH'!$N$94</f>
        <v>0</v>
      </c>
      <c r="E298" s="6">
        <f>IF(E$282&lt;&gt;0,(($B298*B$282+$C298*C$282))/E$282,0)</f>
        <v>0</v>
      </c>
      <c r="F298" s="17">
        <f>0.01*'Input'!$F$58*(D298*$D$282)+10*(B298*$B$282+C298*$C$282)</f>
        <v>0</v>
      </c>
      <c r="G298" s="6">
        <f>IF($E$282&lt;&gt;0,0.1*F298/$E$282,"")</f>
        <v>0</v>
      </c>
      <c r="H298" s="35">
        <f>IF($D$282&lt;&gt;0,F298/$D$282,"")</f>
        <v>0</v>
      </c>
      <c r="I298" s="10"/>
    </row>
    <row r="299" spans="1:9">
      <c r="A299" s="11" t="s">
        <v>1603</v>
      </c>
      <c r="B299" s="7">
        <f>'Standing'!$O$81</f>
        <v>0</v>
      </c>
      <c r="C299" s="7">
        <f>'Standing'!$O$102</f>
        <v>0</v>
      </c>
      <c r="D299" s="37">
        <f>'NHH'!$O$94</f>
        <v>0</v>
      </c>
      <c r="E299" s="6">
        <f>IF(E$282&lt;&gt;0,(($B299*B$282+$C299*C$282))/E$282,0)</f>
        <v>0</v>
      </c>
      <c r="F299" s="17">
        <f>0.01*'Input'!$F$58*(D299*$D$282)+10*(B299*$B$282+C299*$C$282)</f>
        <v>0</v>
      </c>
      <c r="G299" s="6">
        <f>IF($E$282&lt;&gt;0,0.1*F299/$E$282,"")</f>
        <v>0</v>
      </c>
      <c r="H299" s="35">
        <f>IF($D$282&lt;&gt;0,F299/$D$282,"")</f>
        <v>0</v>
      </c>
      <c r="I299" s="10"/>
    </row>
    <row r="300" spans="1:9">
      <c r="A300" s="11" t="s">
        <v>1604</v>
      </c>
      <c r="B300" s="7">
        <f>'Standing'!$P$81</f>
        <v>0</v>
      </c>
      <c r="C300" s="7">
        <f>'Standing'!$P$102</f>
        <v>0</v>
      </c>
      <c r="D300" s="37">
        <f>'NHH'!$P$94</f>
        <v>0</v>
      </c>
      <c r="E300" s="6">
        <f>IF(E$282&lt;&gt;0,(($B300*B$282+$C300*C$282))/E$282,0)</f>
        <v>0</v>
      </c>
      <c r="F300" s="17">
        <f>0.01*'Input'!$F$58*(D300*$D$282)+10*(B300*$B$282+C300*$C$282)</f>
        <v>0</v>
      </c>
      <c r="G300" s="6">
        <f>IF($E$282&lt;&gt;0,0.1*F300/$E$282,"")</f>
        <v>0</v>
      </c>
      <c r="H300" s="35">
        <f>IF($D$282&lt;&gt;0,F300/$D$282,"")</f>
        <v>0</v>
      </c>
      <c r="I300" s="10"/>
    </row>
    <row r="301" spans="1:9">
      <c r="A301" s="11" t="s">
        <v>1605</v>
      </c>
      <c r="B301" s="7">
        <f>'Standing'!$Q$81</f>
        <v>0</v>
      </c>
      <c r="C301" s="7">
        <f>'Standing'!$Q$102</f>
        <v>0</v>
      </c>
      <c r="D301" s="37">
        <f>'NHH'!$Q$94</f>
        <v>0</v>
      </c>
      <c r="E301" s="6">
        <f>IF(E$282&lt;&gt;0,(($B301*B$282+$C301*C$282))/E$282,0)</f>
        <v>0</v>
      </c>
      <c r="F301" s="17">
        <f>0.01*'Input'!$F$58*(D301*$D$282)+10*(B301*$B$282+C301*$C$282)</f>
        <v>0</v>
      </c>
      <c r="G301" s="6">
        <f>IF($E$282&lt;&gt;0,0.1*F301/$E$282,"")</f>
        <v>0</v>
      </c>
      <c r="H301" s="35">
        <f>IF($D$282&lt;&gt;0,F301/$D$282,"")</f>
        <v>0</v>
      </c>
      <c r="I301" s="10"/>
    </row>
    <row r="302" spans="1:9">
      <c r="A302" s="11" t="s">
        <v>1606</v>
      </c>
      <c r="B302" s="7">
        <f>'Standing'!$R$81</f>
        <v>0</v>
      </c>
      <c r="C302" s="7">
        <f>'Standing'!$R$102</f>
        <v>0</v>
      </c>
      <c r="D302" s="37">
        <f>'NHH'!$R$94</f>
        <v>0</v>
      </c>
      <c r="E302" s="6">
        <f>IF(E$282&lt;&gt;0,(($B302*B$282+$C302*C$282))/E$282,0)</f>
        <v>0</v>
      </c>
      <c r="F302" s="17">
        <f>0.01*'Input'!$F$58*(D302*$D$282)+10*(B302*$B$282+C302*$C$282)</f>
        <v>0</v>
      </c>
      <c r="G302" s="6">
        <f>IF($E$282&lt;&gt;0,0.1*F302/$E$282,"")</f>
        <v>0</v>
      </c>
      <c r="H302" s="35">
        <f>IF($D$282&lt;&gt;0,F302/$D$282,"")</f>
        <v>0</v>
      </c>
      <c r="I302" s="10"/>
    </row>
    <row r="303" spans="1:9">
      <c r="A303" s="11" t="s">
        <v>1607</v>
      </c>
      <c r="B303" s="7">
        <f>'Standing'!$S$81</f>
        <v>0</v>
      </c>
      <c r="C303" s="7">
        <f>'Standing'!$S$102</f>
        <v>0</v>
      </c>
      <c r="D303" s="37">
        <f>'NHH'!$S$94</f>
        <v>0</v>
      </c>
      <c r="E303" s="6">
        <f>IF(E$282&lt;&gt;0,(($B303*B$282+$C303*C$282))/E$282,0)</f>
        <v>0</v>
      </c>
      <c r="F303" s="17">
        <f>0.01*'Input'!$F$58*(D303*$D$282)+10*(B303*$B$282+C303*$C$282)</f>
        <v>0</v>
      </c>
      <c r="G303" s="6">
        <f>IF($E$282&lt;&gt;0,0.1*F303/$E$282,"")</f>
        <v>0</v>
      </c>
      <c r="H303" s="35">
        <f>IF($D$282&lt;&gt;0,F303/$D$282,"")</f>
        <v>0</v>
      </c>
      <c r="I303" s="10"/>
    </row>
    <row r="304" spans="1:9">
      <c r="A304" s="11" t="s">
        <v>1608</v>
      </c>
      <c r="B304" s="9"/>
      <c r="C304" s="9"/>
      <c r="D304" s="37">
        <f>'Otex'!$B$129</f>
        <v>0</v>
      </c>
      <c r="E304" s="6">
        <f>IF(E$282&lt;&gt;0,(($B304*B$282+$C304*C$282))/E$282,0)</f>
        <v>0</v>
      </c>
      <c r="F304" s="17">
        <f>0.01*'Input'!$F$58*(D304*$D$282)+10*(B304*$B$282+C304*$C$282)</f>
        <v>0</v>
      </c>
      <c r="G304" s="6">
        <f>IF($E$282&lt;&gt;0,0.1*F304/$E$282,"")</f>
        <v>0</v>
      </c>
      <c r="H304" s="35">
        <f>IF($D$282&lt;&gt;0,F304/$D$282,"")</f>
        <v>0</v>
      </c>
      <c r="I304" s="10"/>
    </row>
    <row r="305" spans="1:13">
      <c r="A305" s="11" t="s">
        <v>1609</v>
      </c>
      <c r="B305" s="9"/>
      <c r="C305" s="9"/>
      <c r="D305" s="37">
        <f>'Otex'!$C$129</f>
        <v>0</v>
      </c>
      <c r="E305" s="6">
        <f>IF(E$282&lt;&gt;0,(($B305*B$282+$C305*C$282))/E$282,0)</f>
        <v>0</v>
      </c>
      <c r="F305" s="17">
        <f>0.01*'Input'!$F$58*(D305*$D$282)+10*(B305*$B$282+C305*$C$282)</f>
        <v>0</v>
      </c>
      <c r="G305" s="6">
        <f>IF($E$282&lt;&gt;0,0.1*F305/$E$282,"")</f>
        <v>0</v>
      </c>
      <c r="H305" s="35">
        <f>IF($D$282&lt;&gt;0,F305/$D$282,"")</f>
        <v>0</v>
      </c>
      <c r="I305" s="10"/>
    </row>
    <row r="306" spans="1:13">
      <c r="A306" s="11" t="s">
        <v>1610</v>
      </c>
      <c r="B306" s="7">
        <f>'Adder'!$B$750</f>
        <v>0</v>
      </c>
      <c r="C306" s="7">
        <f>'Adder'!$C$750</f>
        <v>0</v>
      </c>
      <c r="D306" s="37">
        <f>'Adder'!$E$750</f>
        <v>0</v>
      </c>
      <c r="E306" s="6">
        <f>IF(E$282&lt;&gt;0,(($B306*B$282+$C306*C$282))/E$282,0)</f>
        <v>0</v>
      </c>
      <c r="F306" s="17">
        <f>0.01*'Input'!$F$58*(D306*$D$282)+10*(B306*$B$282+C306*$C$282)</f>
        <v>0</v>
      </c>
      <c r="G306" s="6">
        <f>IF($E$282&lt;&gt;0,0.1*F306/$E$282,"")</f>
        <v>0</v>
      </c>
      <c r="H306" s="35">
        <f>IF($D$282&lt;&gt;0,F306/$D$282,"")</f>
        <v>0</v>
      </c>
      <c r="I306" s="10"/>
    </row>
    <row r="307" spans="1:13">
      <c r="A307" s="11" t="s">
        <v>1611</v>
      </c>
      <c r="B307" s="7">
        <f>'Adjust'!$B$78</f>
        <v>0</v>
      </c>
      <c r="C307" s="7">
        <f>'Adjust'!$C$78</f>
        <v>0</v>
      </c>
      <c r="D307" s="37">
        <f>'Adjust'!$E$78</f>
        <v>0</v>
      </c>
      <c r="E307" s="6">
        <f>IF(E$282&lt;&gt;0,(($B307*B$282+$C307*C$282))/E$282,0)</f>
        <v>0</v>
      </c>
      <c r="F307" s="17">
        <f>0.01*'Input'!$F$58*(D307*$D$282)+10*(B307*$B$282+C307*$C$282)</f>
        <v>0</v>
      </c>
      <c r="G307" s="6">
        <f>IF($E$282&lt;&gt;0,0.1*F307/$E$282,"")</f>
        <v>0</v>
      </c>
      <c r="H307" s="35">
        <f>IF($D$282&lt;&gt;0,F307/$D$282,"")</f>
        <v>0</v>
      </c>
      <c r="I307" s="10"/>
    </row>
    <row r="309" spans="1:13">
      <c r="A309" s="11" t="s">
        <v>1612</v>
      </c>
      <c r="B309" s="6">
        <f>SUM($B$285:$B$307)</f>
        <v>0</v>
      </c>
      <c r="C309" s="6">
        <f>SUM($C$285:$C$307)</f>
        <v>0</v>
      </c>
      <c r="D309" s="35">
        <f>SUM($D$285:$D$307)</f>
        <v>0</v>
      </c>
      <c r="E309" s="6">
        <f>SUM(E$285:E$307)</f>
        <v>0</v>
      </c>
      <c r="F309" s="17">
        <f>SUM($F$285:$F$307)</f>
        <v>0</v>
      </c>
      <c r="G309" s="6">
        <f>SUM($G$285:$G$307)</f>
        <v>0</v>
      </c>
      <c r="H309" s="35">
        <f>SUM($H$285:$H$307)</f>
        <v>0</v>
      </c>
    </row>
    <row r="311" spans="1:13">
      <c r="A311" s="1" t="s">
        <v>178</v>
      </c>
    </row>
    <row r="313" spans="1:13">
      <c r="B313" s="3" t="s">
        <v>221</v>
      </c>
      <c r="C313" s="3" t="s">
        <v>222</v>
      </c>
      <c r="D313" s="3" t="s">
        <v>223</v>
      </c>
      <c r="E313" s="3" t="s">
        <v>224</v>
      </c>
      <c r="F313" s="3" t="s">
        <v>225</v>
      </c>
      <c r="G313" s="3" t="s">
        <v>226</v>
      </c>
      <c r="H313" s="3" t="s">
        <v>1593</v>
      </c>
      <c r="I313" s="3" t="s">
        <v>1594</v>
      </c>
    </row>
    <row r="314" spans="1:13">
      <c r="A314" s="11" t="s">
        <v>178</v>
      </c>
      <c r="B314" s="33">
        <f>'Loads'!B$291</f>
        <v>0</v>
      </c>
      <c r="C314" s="33">
        <f>'Loads'!C$291</f>
        <v>0</v>
      </c>
      <c r="D314" s="33">
        <f>'Loads'!D$291</f>
        <v>0</v>
      </c>
      <c r="E314" s="33">
        <f>'Loads'!E$291</f>
        <v>0</v>
      </c>
      <c r="F314" s="33">
        <f>'Loads'!F$291</f>
        <v>0</v>
      </c>
      <c r="G314" s="33">
        <f>'Loads'!G$291</f>
        <v>0</v>
      </c>
      <c r="H314" s="33">
        <f>'Multi'!B$118</f>
        <v>0</v>
      </c>
      <c r="I314" s="6">
        <f>IF(E314,H314/E314,"")</f>
        <v>0</v>
      </c>
      <c r="J314" s="10"/>
    </row>
    <row r="316" spans="1:13">
      <c r="B316" s="3" t="s">
        <v>1416</v>
      </c>
      <c r="C316" s="3" t="s">
        <v>1417</v>
      </c>
      <c r="D316" s="3" t="s">
        <v>1418</v>
      </c>
      <c r="E316" s="3" t="s">
        <v>1419</v>
      </c>
      <c r="F316" s="3" t="s">
        <v>1420</v>
      </c>
      <c r="G316" s="3" t="s">
        <v>1047</v>
      </c>
      <c r="H316" s="3" t="s">
        <v>1613</v>
      </c>
      <c r="I316" s="3" t="s">
        <v>1595</v>
      </c>
      <c r="J316" s="3" t="s">
        <v>1565</v>
      </c>
      <c r="K316" s="3" t="s">
        <v>1596</v>
      </c>
      <c r="L316" s="3" t="s">
        <v>1614</v>
      </c>
    </row>
    <row r="317" spans="1:13">
      <c r="A317" s="11" t="s">
        <v>449</v>
      </c>
      <c r="B317" s="7">
        <f>'Standing'!$C$82</f>
        <v>0</v>
      </c>
      <c r="C317" s="7">
        <f>'Standing'!$C$103</f>
        <v>0</v>
      </c>
      <c r="D317" s="7">
        <f>'Standing'!$C$115</f>
        <v>0</v>
      </c>
      <c r="E317" s="9"/>
      <c r="F317" s="37">
        <f>'Standing'!$C$34</f>
        <v>0</v>
      </c>
      <c r="G317" s="7">
        <f>'Reactive'!$C$21</f>
        <v>0</v>
      </c>
      <c r="H317" s="6">
        <f>IF(H$314&lt;&gt;0,(($B317*B$314+$C317*C$314+$D317*D$314+$G317*G$314))/H$314,0)</f>
        <v>0</v>
      </c>
      <c r="I317" s="17">
        <f>0.01*'Input'!$F$58*(E317*$E$314+F317*$F$314)+10*(B317*$B$314+C317*$C$314+D317*$D$314+G317*$G$314)</f>
        <v>0</v>
      </c>
      <c r="J317" s="6">
        <f>IF($H$314&lt;&gt;0,0.1*I317/$H$314,"")</f>
        <v>0</v>
      </c>
      <c r="K317" s="35">
        <f>IF($E$314&lt;&gt;0,I317/$E$314,"")</f>
        <v>0</v>
      </c>
      <c r="L317" s="35">
        <f>IF($F$314&lt;&gt;0,I317/$F$314*100/'Input'!$F$58,"")</f>
        <v>0</v>
      </c>
      <c r="M317" s="10"/>
    </row>
    <row r="318" spans="1:13">
      <c r="A318" s="11" t="s">
        <v>450</v>
      </c>
      <c r="B318" s="7">
        <f>'Standing'!$D$82</f>
        <v>0</v>
      </c>
      <c r="C318" s="7">
        <f>'Standing'!$D$103</f>
        <v>0</v>
      </c>
      <c r="D318" s="7">
        <f>'Standing'!$D$115</f>
        <v>0</v>
      </c>
      <c r="E318" s="9"/>
      <c r="F318" s="37">
        <f>'Standing'!$D$34</f>
        <v>0</v>
      </c>
      <c r="G318" s="7">
        <f>'Reactive'!$D$21</f>
        <v>0</v>
      </c>
      <c r="H318" s="6">
        <f>IF(H$314&lt;&gt;0,(($B318*B$314+$C318*C$314+$D318*D$314+$G318*G$314))/H$314,0)</f>
        <v>0</v>
      </c>
      <c r="I318" s="17">
        <f>0.01*'Input'!$F$58*(E318*$E$314+F318*$F$314)+10*(B318*$B$314+C318*$C$314+D318*$D$314+G318*$G$314)</f>
        <v>0</v>
      </c>
      <c r="J318" s="6">
        <f>IF($H$314&lt;&gt;0,0.1*I318/$H$314,"")</f>
        <v>0</v>
      </c>
      <c r="K318" s="35">
        <f>IF($E$314&lt;&gt;0,I318/$E$314,"")</f>
        <v>0</v>
      </c>
      <c r="L318" s="35">
        <f>IF($F$314&lt;&gt;0,I318/$F$314*100/'Input'!$F$58,"")</f>
        <v>0</v>
      </c>
      <c r="M318" s="10"/>
    </row>
    <row r="319" spans="1:13">
      <c r="A319" s="11" t="s">
        <v>451</v>
      </c>
      <c r="B319" s="7">
        <f>'Standing'!$E$82</f>
        <v>0</v>
      </c>
      <c r="C319" s="7">
        <f>'Standing'!$E$103</f>
        <v>0</v>
      </c>
      <c r="D319" s="7">
        <f>'Standing'!$E$115</f>
        <v>0</v>
      </c>
      <c r="E319" s="9"/>
      <c r="F319" s="37">
        <f>'Standing'!$E$34</f>
        <v>0</v>
      </c>
      <c r="G319" s="7">
        <f>'Reactive'!$E$21</f>
        <v>0</v>
      </c>
      <c r="H319" s="6">
        <f>IF(H$314&lt;&gt;0,(($B319*B$314+$C319*C$314+$D319*D$314+$G319*G$314))/H$314,0)</f>
        <v>0</v>
      </c>
      <c r="I319" s="17">
        <f>0.01*'Input'!$F$58*(E319*$E$314+F319*$F$314)+10*(B319*$B$314+C319*$C$314+D319*$D$314+G319*$G$314)</f>
        <v>0</v>
      </c>
      <c r="J319" s="6">
        <f>IF($H$314&lt;&gt;0,0.1*I319/$H$314,"")</f>
        <v>0</v>
      </c>
      <c r="K319" s="35">
        <f>IF($E$314&lt;&gt;0,I319/$E$314,"")</f>
        <v>0</v>
      </c>
      <c r="L319" s="35">
        <f>IF($F$314&lt;&gt;0,I319/$F$314*100/'Input'!$F$58,"")</f>
        <v>0</v>
      </c>
      <c r="M319" s="10"/>
    </row>
    <row r="320" spans="1:13">
      <c r="A320" s="11" t="s">
        <v>452</v>
      </c>
      <c r="B320" s="7">
        <f>'Standing'!$F$82</f>
        <v>0</v>
      </c>
      <c r="C320" s="7">
        <f>'Standing'!$F$103</f>
        <v>0</v>
      </c>
      <c r="D320" s="7">
        <f>'Standing'!$F$115</f>
        <v>0</v>
      </c>
      <c r="E320" s="9"/>
      <c r="F320" s="37">
        <f>'Standing'!$F$34</f>
        <v>0</v>
      </c>
      <c r="G320" s="7">
        <f>'Reactive'!$F$21</f>
        <v>0</v>
      </c>
      <c r="H320" s="6">
        <f>IF(H$314&lt;&gt;0,(($B320*B$314+$C320*C$314+$D320*D$314+$G320*G$314))/H$314,0)</f>
        <v>0</v>
      </c>
      <c r="I320" s="17">
        <f>0.01*'Input'!$F$58*(E320*$E$314+F320*$F$314)+10*(B320*$B$314+C320*$C$314+D320*$D$314+G320*$G$314)</f>
        <v>0</v>
      </c>
      <c r="J320" s="6">
        <f>IF($H$314&lt;&gt;0,0.1*I320/$H$314,"")</f>
        <v>0</v>
      </c>
      <c r="K320" s="35">
        <f>IF($E$314&lt;&gt;0,I320/$E$314,"")</f>
        <v>0</v>
      </c>
      <c r="L320" s="35">
        <f>IF($F$314&lt;&gt;0,I320/$F$314*100/'Input'!$F$58,"")</f>
        <v>0</v>
      </c>
      <c r="M320" s="10"/>
    </row>
    <row r="321" spans="1:13">
      <c r="A321" s="11" t="s">
        <v>453</v>
      </c>
      <c r="B321" s="7">
        <f>'Standing'!$G$82</f>
        <v>0</v>
      </c>
      <c r="C321" s="7">
        <f>'Standing'!$G$103</f>
        <v>0</v>
      </c>
      <c r="D321" s="7">
        <f>'Standing'!$G$115</f>
        <v>0</v>
      </c>
      <c r="E321" s="9"/>
      <c r="F321" s="37">
        <f>'Standing'!$G$34</f>
        <v>0</v>
      </c>
      <c r="G321" s="7">
        <f>'Reactive'!$G$21</f>
        <v>0</v>
      </c>
      <c r="H321" s="6">
        <f>IF(H$314&lt;&gt;0,(($B321*B$314+$C321*C$314+$D321*D$314+$G321*G$314))/H$314,0)</f>
        <v>0</v>
      </c>
      <c r="I321" s="17">
        <f>0.01*'Input'!$F$58*(E321*$E$314+F321*$F$314)+10*(B321*$B$314+C321*$C$314+D321*$D$314+G321*$G$314)</f>
        <v>0</v>
      </c>
      <c r="J321" s="6">
        <f>IF($H$314&lt;&gt;0,0.1*I321/$H$314,"")</f>
        <v>0</v>
      </c>
      <c r="K321" s="35">
        <f>IF($E$314&lt;&gt;0,I321/$E$314,"")</f>
        <v>0</v>
      </c>
      <c r="L321" s="35">
        <f>IF($F$314&lt;&gt;0,I321/$F$314*100/'Input'!$F$58,"")</f>
        <v>0</v>
      </c>
      <c r="M321" s="10"/>
    </row>
    <row r="322" spans="1:13">
      <c r="A322" s="11" t="s">
        <v>454</v>
      </c>
      <c r="B322" s="7">
        <f>'Standing'!$H$82</f>
        <v>0</v>
      </c>
      <c r="C322" s="7">
        <f>'Standing'!$H$103</f>
        <v>0</v>
      </c>
      <c r="D322" s="7">
        <f>'Standing'!$H$115</f>
        <v>0</v>
      </c>
      <c r="E322" s="9"/>
      <c r="F322" s="37">
        <f>'Standing'!$H$34</f>
        <v>0</v>
      </c>
      <c r="G322" s="7">
        <f>'Reactive'!$H$21</f>
        <v>0</v>
      </c>
      <c r="H322" s="6">
        <f>IF(H$314&lt;&gt;0,(($B322*B$314+$C322*C$314+$D322*D$314+$G322*G$314))/H$314,0)</f>
        <v>0</v>
      </c>
      <c r="I322" s="17">
        <f>0.01*'Input'!$F$58*(E322*$E$314+F322*$F$314)+10*(B322*$B$314+C322*$C$314+D322*$D$314+G322*$G$314)</f>
        <v>0</v>
      </c>
      <c r="J322" s="6">
        <f>IF($H$314&lt;&gt;0,0.1*I322/$H$314,"")</f>
        <v>0</v>
      </c>
      <c r="K322" s="35">
        <f>IF($E$314&lt;&gt;0,I322/$E$314,"")</f>
        <v>0</v>
      </c>
      <c r="L322" s="35">
        <f>IF($F$314&lt;&gt;0,I322/$F$314*100/'Input'!$F$58,"")</f>
        <v>0</v>
      </c>
      <c r="M322" s="10"/>
    </row>
    <row r="323" spans="1:13">
      <c r="A323" s="11" t="s">
        <v>455</v>
      </c>
      <c r="B323" s="7">
        <f>'Standing'!$I$82</f>
        <v>0</v>
      </c>
      <c r="C323" s="7">
        <f>'Standing'!$I$103</f>
        <v>0</v>
      </c>
      <c r="D323" s="7">
        <f>'Standing'!$I$115</f>
        <v>0</v>
      </c>
      <c r="E323" s="9"/>
      <c r="F323" s="37">
        <f>'Standing'!$I$34</f>
        <v>0</v>
      </c>
      <c r="G323" s="7">
        <f>'Reactive'!$I$21</f>
        <v>0</v>
      </c>
      <c r="H323" s="6">
        <f>IF(H$314&lt;&gt;0,(($B323*B$314+$C323*C$314+$D323*D$314+$G323*G$314))/H$314,0)</f>
        <v>0</v>
      </c>
      <c r="I323" s="17">
        <f>0.01*'Input'!$F$58*(E323*$E$314+F323*$F$314)+10*(B323*$B$314+C323*$C$314+D323*$D$314+G323*$G$314)</f>
        <v>0</v>
      </c>
      <c r="J323" s="6">
        <f>IF($H$314&lt;&gt;0,0.1*I323/$H$314,"")</f>
        <v>0</v>
      </c>
      <c r="K323" s="35">
        <f>IF($E$314&lt;&gt;0,I323/$E$314,"")</f>
        <v>0</v>
      </c>
      <c r="L323" s="35">
        <f>IF($F$314&lt;&gt;0,I323/$F$314*100/'Input'!$F$58,"")</f>
        <v>0</v>
      </c>
      <c r="M323" s="10"/>
    </row>
    <row r="324" spans="1:13">
      <c r="A324" s="11" t="s">
        <v>456</v>
      </c>
      <c r="B324" s="7">
        <f>'Standing'!$J$82</f>
        <v>0</v>
      </c>
      <c r="C324" s="7">
        <f>'Standing'!$J$103</f>
        <v>0</v>
      </c>
      <c r="D324" s="7">
        <f>'Standing'!$J$115</f>
        <v>0</v>
      </c>
      <c r="E324" s="9"/>
      <c r="F324" s="37">
        <f>'Standing'!$J$34</f>
        <v>0</v>
      </c>
      <c r="G324" s="7">
        <f>'Reactive'!$J$21</f>
        <v>0</v>
      </c>
      <c r="H324" s="6">
        <f>IF(H$314&lt;&gt;0,(($B324*B$314+$C324*C$314+$D324*D$314+$G324*G$314))/H$314,0)</f>
        <v>0</v>
      </c>
      <c r="I324" s="17">
        <f>0.01*'Input'!$F$58*(E324*$E$314+F324*$F$314)+10*(B324*$B$314+C324*$C$314+D324*$D$314+G324*$G$314)</f>
        <v>0</v>
      </c>
      <c r="J324" s="6">
        <f>IF($H$314&lt;&gt;0,0.1*I324/$H$314,"")</f>
        <v>0</v>
      </c>
      <c r="K324" s="35">
        <f>IF($E$314&lt;&gt;0,I324/$E$314,"")</f>
        <v>0</v>
      </c>
      <c r="L324" s="35">
        <f>IF($F$314&lt;&gt;0,I324/$F$314*100/'Input'!$F$58,"")</f>
        <v>0</v>
      </c>
      <c r="M324" s="10"/>
    </row>
    <row r="325" spans="1:13">
      <c r="A325" s="11" t="s">
        <v>1597</v>
      </c>
      <c r="B325" s="9"/>
      <c r="C325" s="9"/>
      <c r="D325" s="9"/>
      <c r="E325" s="37">
        <f>'SM'!$B$111</f>
        <v>0</v>
      </c>
      <c r="F325" s="9"/>
      <c r="G325" s="9"/>
      <c r="H325" s="6">
        <f>IF(H$314&lt;&gt;0,(($B325*B$314+$C325*C$314+$D325*D$314+$G325*G$314))/H$314,0)</f>
        <v>0</v>
      </c>
      <c r="I325" s="17">
        <f>0.01*'Input'!$F$58*(E325*$E$314+F325*$F$314)+10*(B325*$B$314+C325*$C$314+D325*$D$314+G325*$G$314)</f>
        <v>0</v>
      </c>
      <c r="J325" s="6">
        <f>IF($H$314&lt;&gt;0,0.1*I325/$H$314,"")</f>
        <v>0</v>
      </c>
      <c r="K325" s="35">
        <f>IF($E$314&lt;&gt;0,I325/$E$314,"")</f>
        <v>0</v>
      </c>
      <c r="L325" s="35">
        <f>IF($F$314&lt;&gt;0,I325/$F$314*100/'Input'!$F$58,"")</f>
        <v>0</v>
      </c>
      <c r="M325" s="10"/>
    </row>
    <row r="326" spans="1:13">
      <c r="A326" s="11" t="s">
        <v>1598</v>
      </c>
      <c r="B326" s="9"/>
      <c r="C326" s="9"/>
      <c r="D326" s="9"/>
      <c r="E326" s="37">
        <f>'SM'!$C$111</f>
        <v>0</v>
      </c>
      <c r="F326" s="9"/>
      <c r="G326" s="9"/>
      <c r="H326" s="6">
        <f>IF(H$314&lt;&gt;0,(($B326*B$314+$C326*C$314+$D326*D$314+$G326*G$314))/H$314,0)</f>
        <v>0</v>
      </c>
      <c r="I326" s="17">
        <f>0.01*'Input'!$F$58*(E326*$E$314+F326*$F$314)+10*(B326*$B$314+C326*$C$314+D326*$D$314+G326*$G$314)</f>
        <v>0</v>
      </c>
      <c r="J326" s="6">
        <f>IF($H$314&lt;&gt;0,0.1*I326/$H$314,"")</f>
        <v>0</v>
      </c>
      <c r="K326" s="35">
        <f>IF($E$314&lt;&gt;0,I326/$E$314,"")</f>
        <v>0</v>
      </c>
      <c r="L326" s="35">
        <f>IF($F$314&lt;&gt;0,I326/$F$314*100/'Input'!$F$58,"")</f>
        <v>0</v>
      </c>
      <c r="M326" s="10"/>
    </row>
    <row r="327" spans="1:13">
      <c r="A327" s="11" t="s">
        <v>1599</v>
      </c>
      <c r="B327" s="7">
        <f>'Standing'!$K$82</f>
        <v>0</v>
      </c>
      <c r="C327" s="7">
        <f>'Standing'!$K$103</f>
        <v>0</v>
      </c>
      <c r="D327" s="7">
        <f>'Standing'!$K$115</f>
        <v>0</v>
      </c>
      <c r="E327" s="9"/>
      <c r="F327" s="37">
        <f>'Standing'!$K$34</f>
        <v>0</v>
      </c>
      <c r="G327" s="7">
        <f>'Reactive'!$K$21</f>
        <v>0</v>
      </c>
      <c r="H327" s="6">
        <f>IF(H$314&lt;&gt;0,(($B327*B$314+$C327*C$314+$D327*D$314+$G327*G$314))/H$314,0)</f>
        <v>0</v>
      </c>
      <c r="I327" s="17">
        <f>0.01*'Input'!$F$58*(E327*$E$314+F327*$F$314)+10*(B327*$B$314+C327*$C$314+D327*$D$314+G327*$G$314)</f>
        <v>0</v>
      </c>
      <c r="J327" s="6">
        <f>IF($H$314&lt;&gt;0,0.1*I327/$H$314,"")</f>
        <v>0</v>
      </c>
      <c r="K327" s="35">
        <f>IF($E$314&lt;&gt;0,I327/$E$314,"")</f>
        <v>0</v>
      </c>
      <c r="L327" s="35">
        <f>IF($F$314&lt;&gt;0,I327/$F$314*100/'Input'!$F$58,"")</f>
        <v>0</v>
      </c>
      <c r="M327" s="10"/>
    </row>
    <row r="328" spans="1:13">
      <c r="A328" s="11" t="s">
        <v>1600</v>
      </c>
      <c r="B328" s="7">
        <f>'Standing'!$L$82</f>
        <v>0</v>
      </c>
      <c r="C328" s="7">
        <f>'Standing'!$L$103</f>
        <v>0</v>
      </c>
      <c r="D328" s="7">
        <f>'Standing'!$L$115</f>
        <v>0</v>
      </c>
      <c r="E328" s="9"/>
      <c r="F328" s="37">
        <f>'Standing'!$L$34</f>
        <v>0</v>
      </c>
      <c r="G328" s="7">
        <f>'Reactive'!$L$21</f>
        <v>0</v>
      </c>
      <c r="H328" s="6">
        <f>IF(H$314&lt;&gt;0,(($B328*B$314+$C328*C$314+$D328*D$314+$G328*G$314))/H$314,0)</f>
        <v>0</v>
      </c>
      <c r="I328" s="17">
        <f>0.01*'Input'!$F$58*(E328*$E$314+F328*$F$314)+10*(B328*$B$314+C328*$C$314+D328*$D$314+G328*$G$314)</f>
        <v>0</v>
      </c>
      <c r="J328" s="6">
        <f>IF($H$314&lt;&gt;0,0.1*I328/$H$314,"")</f>
        <v>0</v>
      </c>
      <c r="K328" s="35">
        <f>IF($E$314&lt;&gt;0,I328/$E$314,"")</f>
        <v>0</v>
      </c>
      <c r="L328" s="35">
        <f>IF($F$314&lt;&gt;0,I328/$F$314*100/'Input'!$F$58,"")</f>
        <v>0</v>
      </c>
      <c r="M328" s="10"/>
    </row>
    <row r="329" spans="1:13">
      <c r="A329" s="11" t="s">
        <v>1601</v>
      </c>
      <c r="B329" s="7">
        <f>'Standing'!$M$82</f>
        <v>0</v>
      </c>
      <c r="C329" s="7">
        <f>'Standing'!$M$103</f>
        <v>0</v>
      </c>
      <c r="D329" s="7">
        <f>'Standing'!$M$115</f>
        <v>0</v>
      </c>
      <c r="E329" s="9"/>
      <c r="F329" s="37">
        <f>'Standing'!$M$34</f>
        <v>0</v>
      </c>
      <c r="G329" s="7">
        <f>'Reactive'!$M$21</f>
        <v>0</v>
      </c>
      <c r="H329" s="6">
        <f>IF(H$314&lt;&gt;0,(($B329*B$314+$C329*C$314+$D329*D$314+$G329*G$314))/H$314,0)</f>
        <v>0</v>
      </c>
      <c r="I329" s="17">
        <f>0.01*'Input'!$F$58*(E329*$E$314+F329*$F$314)+10*(B329*$B$314+C329*$C$314+D329*$D$314+G329*$G$314)</f>
        <v>0</v>
      </c>
      <c r="J329" s="6">
        <f>IF($H$314&lt;&gt;0,0.1*I329/$H$314,"")</f>
        <v>0</v>
      </c>
      <c r="K329" s="35">
        <f>IF($E$314&lt;&gt;0,I329/$E$314,"")</f>
        <v>0</v>
      </c>
      <c r="L329" s="35">
        <f>IF($F$314&lt;&gt;0,I329/$F$314*100/'Input'!$F$58,"")</f>
        <v>0</v>
      </c>
      <c r="M329" s="10"/>
    </row>
    <row r="330" spans="1:13">
      <c r="A330" s="11" t="s">
        <v>1602</v>
      </c>
      <c r="B330" s="7">
        <f>'Standing'!$N$82</f>
        <v>0</v>
      </c>
      <c r="C330" s="7">
        <f>'Standing'!$N$103</f>
        <v>0</v>
      </c>
      <c r="D330" s="7">
        <f>'Standing'!$N$115</f>
        <v>0</v>
      </c>
      <c r="E330" s="9"/>
      <c r="F330" s="37">
        <f>'Standing'!$N$34</f>
        <v>0</v>
      </c>
      <c r="G330" s="7">
        <f>'Reactive'!$N$21</f>
        <v>0</v>
      </c>
      <c r="H330" s="6">
        <f>IF(H$314&lt;&gt;0,(($B330*B$314+$C330*C$314+$D330*D$314+$G330*G$314))/H$314,0)</f>
        <v>0</v>
      </c>
      <c r="I330" s="17">
        <f>0.01*'Input'!$F$58*(E330*$E$314+F330*$F$314)+10*(B330*$B$314+C330*$C$314+D330*$D$314+G330*$G$314)</f>
        <v>0</v>
      </c>
      <c r="J330" s="6">
        <f>IF($H$314&lt;&gt;0,0.1*I330/$H$314,"")</f>
        <v>0</v>
      </c>
      <c r="K330" s="35">
        <f>IF($E$314&lt;&gt;0,I330/$E$314,"")</f>
        <v>0</v>
      </c>
      <c r="L330" s="35">
        <f>IF($F$314&lt;&gt;0,I330/$F$314*100/'Input'!$F$58,"")</f>
        <v>0</v>
      </c>
      <c r="M330" s="10"/>
    </row>
    <row r="331" spans="1:13">
      <c r="A331" s="11" t="s">
        <v>1603</v>
      </c>
      <c r="B331" s="7">
        <f>'Standing'!$O$82</f>
        <v>0</v>
      </c>
      <c r="C331" s="7">
        <f>'Standing'!$O$103</f>
        <v>0</v>
      </c>
      <c r="D331" s="7">
        <f>'Standing'!$O$115</f>
        <v>0</v>
      </c>
      <c r="E331" s="9"/>
      <c r="F331" s="37">
        <f>'Standing'!$O$34</f>
        <v>0</v>
      </c>
      <c r="G331" s="7">
        <f>'Reactive'!$O$21</f>
        <v>0</v>
      </c>
      <c r="H331" s="6">
        <f>IF(H$314&lt;&gt;0,(($B331*B$314+$C331*C$314+$D331*D$314+$G331*G$314))/H$314,0)</f>
        <v>0</v>
      </c>
      <c r="I331" s="17">
        <f>0.01*'Input'!$F$58*(E331*$E$314+F331*$F$314)+10*(B331*$B$314+C331*$C$314+D331*$D$314+G331*$G$314)</f>
        <v>0</v>
      </c>
      <c r="J331" s="6">
        <f>IF($H$314&lt;&gt;0,0.1*I331/$H$314,"")</f>
        <v>0</v>
      </c>
      <c r="K331" s="35">
        <f>IF($E$314&lt;&gt;0,I331/$E$314,"")</f>
        <v>0</v>
      </c>
      <c r="L331" s="35">
        <f>IF($F$314&lt;&gt;0,I331/$F$314*100/'Input'!$F$58,"")</f>
        <v>0</v>
      </c>
      <c r="M331" s="10"/>
    </row>
    <row r="332" spans="1:13">
      <c r="A332" s="11" t="s">
        <v>1604</v>
      </c>
      <c r="B332" s="7">
        <f>'Standing'!$P$82</f>
        <v>0</v>
      </c>
      <c r="C332" s="7">
        <f>'Standing'!$P$103</f>
        <v>0</v>
      </c>
      <c r="D332" s="7">
        <f>'Standing'!$P$115</f>
        <v>0</v>
      </c>
      <c r="E332" s="9"/>
      <c r="F332" s="37">
        <f>'Standing'!$P$34</f>
        <v>0</v>
      </c>
      <c r="G332" s="7">
        <f>'Reactive'!$P$21</f>
        <v>0</v>
      </c>
      <c r="H332" s="6">
        <f>IF(H$314&lt;&gt;0,(($B332*B$314+$C332*C$314+$D332*D$314+$G332*G$314))/H$314,0)</f>
        <v>0</v>
      </c>
      <c r="I332" s="17">
        <f>0.01*'Input'!$F$58*(E332*$E$314+F332*$F$314)+10*(B332*$B$314+C332*$C$314+D332*$D$314+G332*$G$314)</f>
        <v>0</v>
      </c>
      <c r="J332" s="6">
        <f>IF($H$314&lt;&gt;0,0.1*I332/$H$314,"")</f>
        <v>0</v>
      </c>
      <c r="K332" s="35">
        <f>IF($E$314&lt;&gt;0,I332/$E$314,"")</f>
        <v>0</v>
      </c>
      <c r="L332" s="35">
        <f>IF($F$314&lt;&gt;0,I332/$F$314*100/'Input'!$F$58,"")</f>
        <v>0</v>
      </c>
      <c r="M332" s="10"/>
    </row>
    <row r="333" spans="1:13">
      <c r="A333" s="11" t="s">
        <v>1605</v>
      </c>
      <c r="B333" s="7">
        <f>'Standing'!$Q$82</f>
        <v>0</v>
      </c>
      <c r="C333" s="7">
        <f>'Standing'!$Q$103</f>
        <v>0</v>
      </c>
      <c r="D333" s="7">
        <f>'Standing'!$Q$115</f>
        <v>0</v>
      </c>
      <c r="E333" s="9"/>
      <c r="F333" s="37">
        <f>'Standing'!$Q$34</f>
        <v>0</v>
      </c>
      <c r="G333" s="7">
        <f>'Reactive'!$Q$21</f>
        <v>0</v>
      </c>
      <c r="H333" s="6">
        <f>IF(H$314&lt;&gt;0,(($B333*B$314+$C333*C$314+$D333*D$314+$G333*G$314))/H$314,0)</f>
        <v>0</v>
      </c>
      <c r="I333" s="17">
        <f>0.01*'Input'!$F$58*(E333*$E$314+F333*$F$314)+10*(B333*$B$314+C333*$C$314+D333*$D$314+G333*$G$314)</f>
        <v>0</v>
      </c>
      <c r="J333" s="6">
        <f>IF($H$314&lt;&gt;0,0.1*I333/$H$314,"")</f>
        <v>0</v>
      </c>
      <c r="K333" s="35">
        <f>IF($E$314&lt;&gt;0,I333/$E$314,"")</f>
        <v>0</v>
      </c>
      <c r="L333" s="35">
        <f>IF($F$314&lt;&gt;0,I333/$F$314*100/'Input'!$F$58,"")</f>
        <v>0</v>
      </c>
      <c r="M333" s="10"/>
    </row>
    <row r="334" spans="1:13">
      <c r="A334" s="11" t="s">
        <v>1606</v>
      </c>
      <c r="B334" s="7">
        <f>'Standing'!$R$82</f>
        <v>0</v>
      </c>
      <c r="C334" s="7">
        <f>'Standing'!$R$103</f>
        <v>0</v>
      </c>
      <c r="D334" s="7">
        <f>'Standing'!$R$115</f>
        <v>0</v>
      </c>
      <c r="E334" s="9"/>
      <c r="F334" s="37">
        <f>'Standing'!$R$34</f>
        <v>0</v>
      </c>
      <c r="G334" s="7">
        <f>'Reactive'!$R$21</f>
        <v>0</v>
      </c>
      <c r="H334" s="6">
        <f>IF(H$314&lt;&gt;0,(($B334*B$314+$C334*C$314+$D334*D$314+$G334*G$314))/H$314,0)</f>
        <v>0</v>
      </c>
      <c r="I334" s="17">
        <f>0.01*'Input'!$F$58*(E334*$E$314+F334*$F$314)+10*(B334*$B$314+C334*$C$314+D334*$D$314+G334*$G$314)</f>
        <v>0</v>
      </c>
      <c r="J334" s="6">
        <f>IF($H$314&lt;&gt;0,0.1*I334/$H$314,"")</f>
        <v>0</v>
      </c>
      <c r="K334" s="35">
        <f>IF($E$314&lt;&gt;0,I334/$E$314,"")</f>
        <v>0</v>
      </c>
      <c r="L334" s="35">
        <f>IF($F$314&lt;&gt;0,I334/$F$314*100/'Input'!$F$58,"")</f>
        <v>0</v>
      </c>
      <c r="M334" s="10"/>
    </row>
    <row r="335" spans="1:13">
      <c r="A335" s="11" t="s">
        <v>1607</v>
      </c>
      <c r="B335" s="7">
        <f>'Standing'!$S$82</f>
        <v>0</v>
      </c>
      <c r="C335" s="7">
        <f>'Standing'!$S$103</f>
        <v>0</v>
      </c>
      <c r="D335" s="7">
        <f>'Standing'!$S$115</f>
        <v>0</v>
      </c>
      <c r="E335" s="9"/>
      <c r="F335" s="37">
        <f>'Standing'!$S$34</f>
        <v>0</v>
      </c>
      <c r="G335" s="7">
        <f>'Reactive'!$S$21</f>
        <v>0</v>
      </c>
      <c r="H335" s="6">
        <f>IF(H$314&lt;&gt;0,(($B335*B$314+$C335*C$314+$D335*D$314+$G335*G$314))/H$314,0)</f>
        <v>0</v>
      </c>
      <c r="I335" s="17">
        <f>0.01*'Input'!$F$58*(E335*$E$314+F335*$F$314)+10*(B335*$B$314+C335*$C$314+D335*$D$314+G335*$G$314)</f>
        <v>0</v>
      </c>
      <c r="J335" s="6">
        <f>IF($H$314&lt;&gt;0,0.1*I335/$H$314,"")</f>
        <v>0</v>
      </c>
      <c r="K335" s="35">
        <f>IF($E$314&lt;&gt;0,I335/$E$314,"")</f>
        <v>0</v>
      </c>
      <c r="L335" s="35">
        <f>IF($F$314&lt;&gt;0,I335/$F$314*100/'Input'!$F$58,"")</f>
        <v>0</v>
      </c>
      <c r="M335" s="10"/>
    </row>
    <row r="336" spans="1:13">
      <c r="A336" s="11" t="s">
        <v>1608</v>
      </c>
      <c r="B336" s="9"/>
      <c r="C336" s="9"/>
      <c r="D336" s="9"/>
      <c r="E336" s="37">
        <f>'Otex'!$B$130</f>
        <v>0</v>
      </c>
      <c r="F336" s="9"/>
      <c r="G336" s="9"/>
      <c r="H336" s="6">
        <f>IF(H$314&lt;&gt;0,(($B336*B$314+$C336*C$314+$D336*D$314+$G336*G$314))/H$314,0)</f>
        <v>0</v>
      </c>
      <c r="I336" s="17">
        <f>0.01*'Input'!$F$58*(E336*$E$314+F336*$F$314)+10*(B336*$B$314+C336*$C$314+D336*$D$314+G336*$G$314)</f>
        <v>0</v>
      </c>
      <c r="J336" s="6">
        <f>IF($H$314&lt;&gt;0,0.1*I336/$H$314,"")</f>
        <v>0</v>
      </c>
      <c r="K336" s="35">
        <f>IF($E$314&lt;&gt;0,I336/$E$314,"")</f>
        <v>0</v>
      </c>
      <c r="L336" s="35">
        <f>IF($F$314&lt;&gt;0,I336/$F$314*100/'Input'!$F$58,"")</f>
        <v>0</v>
      </c>
      <c r="M336" s="10"/>
    </row>
    <row r="337" spans="1:13">
      <c r="A337" s="11" t="s">
        <v>1609</v>
      </c>
      <c r="B337" s="9"/>
      <c r="C337" s="9"/>
      <c r="D337" s="9"/>
      <c r="E337" s="37">
        <f>'Otex'!$C$130</f>
        <v>0</v>
      </c>
      <c r="F337" s="9"/>
      <c r="G337" s="9"/>
      <c r="H337" s="6">
        <f>IF(H$314&lt;&gt;0,(($B337*B$314+$C337*C$314+$D337*D$314+$G337*G$314))/H$314,0)</f>
        <v>0</v>
      </c>
      <c r="I337" s="17">
        <f>0.01*'Input'!$F$58*(E337*$E$314+F337*$F$314)+10*(B337*$B$314+C337*$C$314+D337*$D$314+G337*$G$314)</f>
        <v>0</v>
      </c>
      <c r="J337" s="6">
        <f>IF($H$314&lt;&gt;0,0.1*I337/$H$314,"")</f>
        <v>0</v>
      </c>
      <c r="K337" s="35">
        <f>IF($E$314&lt;&gt;0,I337/$E$314,"")</f>
        <v>0</v>
      </c>
      <c r="L337" s="35">
        <f>IF($F$314&lt;&gt;0,I337/$F$314*100/'Input'!$F$58,"")</f>
        <v>0</v>
      </c>
      <c r="M337" s="10"/>
    </row>
    <row r="338" spans="1:13">
      <c r="A338" s="11" t="s">
        <v>1610</v>
      </c>
      <c r="B338" s="7">
        <f>'Adder'!$B$751</f>
        <v>0</v>
      </c>
      <c r="C338" s="7">
        <f>'Adder'!$C$751</f>
        <v>0</v>
      </c>
      <c r="D338" s="7">
        <f>'Adder'!$D$751</f>
        <v>0</v>
      </c>
      <c r="E338" s="37">
        <f>'Adder'!$E$751</f>
        <v>0</v>
      </c>
      <c r="F338" s="37">
        <f>'Adder'!$F$751</f>
        <v>0</v>
      </c>
      <c r="G338" s="7">
        <f>'Adder'!$G$751</f>
        <v>0</v>
      </c>
      <c r="H338" s="6">
        <f>IF(H$314&lt;&gt;0,(($B338*B$314+$C338*C$314+$D338*D$314+$G338*G$314))/H$314,0)</f>
        <v>0</v>
      </c>
      <c r="I338" s="17">
        <f>0.01*'Input'!$F$58*(E338*$E$314+F338*$F$314)+10*(B338*$B$314+C338*$C$314+D338*$D$314+G338*$G$314)</f>
        <v>0</v>
      </c>
      <c r="J338" s="6">
        <f>IF($H$314&lt;&gt;0,0.1*I338/$H$314,"")</f>
        <v>0</v>
      </c>
      <c r="K338" s="35">
        <f>IF($E$314&lt;&gt;0,I338/$E$314,"")</f>
        <v>0</v>
      </c>
      <c r="L338" s="35">
        <f>IF($F$314&lt;&gt;0,I338/$F$314*100/'Input'!$F$58,"")</f>
        <v>0</v>
      </c>
      <c r="M338" s="10"/>
    </row>
    <row r="339" spans="1:13">
      <c r="A339" s="11" t="s">
        <v>1611</v>
      </c>
      <c r="B339" s="7">
        <f>'Adjust'!$B$79</f>
        <v>0</v>
      </c>
      <c r="C339" s="7">
        <f>'Adjust'!$C$79</f>
        <v>0</v>
      </c>
      <c r="D339" s="7">
        <f>'Adjust'!$D$79</f>
        <v>0</v>
      </c>
      <c r="E339" s="37">
        <f>'Adjust'!$E$79</f>
        <v>0</v>
      </c>
      <c r="F339" s="37">
        <f>'Adjust'!$F$79</f>
        <v>0</v>
      </c>
      <c r="G339" s="7">
        <f>'Adjust'!$G$79</f>
        <v>0</v>
      </c>
      <c r="H339" s="6">
        <f>IF(H$314&lt;&gt;0,(($B339*B$314+$C339*C$314+$D339*D$314+$G339*G$314))/H$314,0)</f>
        <v>0</v>
      </c>
      <c r="I339" s="17">
        <f>0.01*'Input'!$F$58*(E339*$E$314+F339*$F$314)+10*(B339*$B$314+C339*$C$314+D339*$D$314+G339*$G$314)</f>
        <v>0</v>
      </c>
      <c r="J339" s="6">
        <f>IF($H$314&lt;&gt;0,0.1*I339/$H$314,"")</f>
        <v>0</v>
      </c>
      <c r="K339" s="35">
        <f>IF($E$314&lt;&gt;0,I339/$E$314,"")</f>
        <v>0</v>
      </c>
      <c r="L339" s="35">
        <f>IF($F$314&lt;&gt;0,I339/$F$314*100/'Input'!$F$58,"")</f>
        <v>0</v>
      </c>
      <c r="M339" s="10"/>
    </row>
    <row r="341" spans="1:13">
      <c r="A341" s="11" t="s">
        <v>1612</v>
      </c>
      <c r="B341" s="6">
        <f>SUM($B$317:$B$339)</f>
        <v>0</v>
      </c>
      <c r="C341" s="6">
        <f>SUM($C$317:$C$339)</f>
        <v>0</v>
      </c>
      <c r="D341" s="6">
        <f>SUM($D$317:$D$339)</f>
        <v>0</v>
      </c>
      <c r="E341" s="35">
        <f>SUM($E$317:$E$339)</f>
        <v>0</v>
      </c>
      <c r="F341" s="35">
        <f>SUM($F$317:$F$339)</f>
        <v>0</v>
      </c>
      <c r="G341" s="6">
        <f>SUM($G$317:$G$339)</f>
        <v>0</v>
      </c>
      <c r="H341" s="6">
        <f>SUM(H$317:H$339)</f>
        <v>0</v>
      </c>
      <c r="I341" s="17">
        <f>SUM($I$317:$I$339)</f>
        <v>0</v>
      </c>
      <c r="J341" s="6">
        <f>SUM($J$317:$J$339)</f>
        <v>0</v>
      </c>
      <c r="K341" s="35">
        <f>SUM($K$317:$K$339)</f>
        <v>0</v>
      </c>
      <c r="L341" s="35">
        <f>SUM($L$317:$L$339)</f>
        <v>0</v>
      </c>
    </row>
    <row r="343" spans="1:13">
      <c r="A343" s="1" t="s">
        <v>179</v>
      </c>
    </row>
    <row r="345" spans="1:13">
      <c r="B345" s="3" t="s">
        <v>221</v>
      </c>
      <c r="C345" s="3" t="s">
        <v>222</v>
      </c>
      <c r="D345" s="3" t="s">
        <v>223</v>
      </c>
      <c r="E345" s="3" t="s">
        <v>224</v>
      </c>
      <c r="F345" s="3" t="s">
        <v>225</v>
      </c>
      <c r="G345" s="3" t="s">
        <v>226</v>
      </c>
      <c r="H345" s="3" t="s">
        <v>1593</v>
      </c>
      <c r="I345" s="3" t="s">
        <v>1594</v>
      </c>
    </row>
    <row r="346" spans="1:13">
      <c r="A346" s="11" t="s">
        <v>179</v>
      </c>
      <c r="B346" s="33">
        <f>'Loads'!B$292</f>
        <v>0</v>
      </c>
      <c r="C346" s="33">
        <f>'Loads'!C$292</f>
        <v>0</v>
      </c>
      <c r="D346" s="33">
        <f>'Loads'!D$292</f>
        <v>0</v>
      </c>
      <c r="E346" s="33">
        <f>'Loads'!E$292</f>
        <v>0</v>
      </c>
      <c r="F346" s="33">
        <f>'Loads'!F$292</f>
        <v>0</v>
      </c>
      <c r="G346" s="33">
        <f>'Loads'!G$292</f>
        <v>0</v>
      </c>
      <c r="H346" s="33">
        <f>'Multi'!B$119</f>
        <v>0</v>
      </c>
      <c r="I346" s="6">
        <f>IF(E346,H346/E346,"")</f>
        <v>0</v>
      </c>
      <c r="J346" s="10"/>
    </row>
    <row r="348" spans="1:13">
      <c r="B348" s="3" t="s">
        <v>1416</v>
      </c>
      <c r="C348" s="3" t="s">
        <v>1417</v>
      </c>
      <c r="D348" s="3" t="s">
        <v>1418</v>
      </c>
      <c r="E348" s="3" t="s">
        <v>1419</v>
      </c>
      <c r="F348" s="3" t="s">
        <v>1420</v>
      </c>
      <c r="G348" s="3" t="s">
        <v>1047</v>
      </c>
      <c r="H348" s="3" t="s">
        <v>1613</v>
      </c>
      <c r="I348" s="3" t="s">
        <v>1595</v>
      </c>
      <c r="J348" s="3" t="s">
        <v>1565</v>
      </c>
      <c r="K348" s="3" t="s">
        <v>1596</v>
      </c>
      <c r="L348" s="3" t="s">
        <v>1614</v>
      </c>
    </row>
    <row r="349" spans="1:13">
      <c r="A349" s="11" t="s">
        <v>449</v>
      </c>
      <c r="B349" s="7">
        <f>'Standing'!$C$83</f>
        <v>0</v>
      </c>
      <c r="C349" s="7">
        <f>'Standing'!$C$104</f>
        <v>0</v>
      </c>
      <c r="D349" s="7">
        <f>'Standing'!$C$116</f>
        <v>0</v>
      </c>
      <c r="E349" s="9"/>
      <c r="F349" s="37">
        <f>'Standing'!$C$35</f>
        <v>0</v>
      </c>
      <c r="G349" s="7">
        <f>'Reactive'!$C$22</f>
        <v>0</v>
      </c>
      <c r="H349" s="6">
        <f>IF(H$346&lt;&gt;0,(($B349*B$346+$C349*C$346+$D349*D$346+$G349*G$346))/H$346,0)</f>
        <v>0</v>
      </c>
      <c r="I349" s="17">
        <f>0.01*'Input'!$F$58*(E349*$E$346+F349*$F$346)+10*(B349*$B$346+C349*$C$346+D349*$D$346+G349*$G$346)</f>
        <v>0</v>
      </c>
      <c r="J349" s="6">
        <f>IF($H$346&lt;&gt;0,0.1*I349/$H$346,"")</f>
        <v>0</v>
      </c>
      <c r="K349" s="35">
        <f>IF($E$346&lt;&gt;0,I349/$E$346,"")</f>
        <v>0</v>
      </c>
      <c r="L349" s="35">
        <f>IF($F$346&lt;&gt;0,I349/$F$346*100/'Input'!$F$58,"")</f>
        <v>0</v>
      </c>
      <c r="M349" s="10"/>
    </row>
    <row r="350" spans="1:13">
      <c r="A350" s="11" t="s">
        <v>450</v>
      </c>
      <c r="B350" s="7">
        <f>'Standing'!$D$83</f>
        <v>0</v>
      </c>
      <c r="C350" s="7">
        <f>'Standing'!$D$104</f>
        <v>0</v>
      </c>
      <c r="D350" s="7">
        <f>'Standing'!$D$116</f>
        <v>0</v>
      </c>
      <c r="E350" s="9"/>
      <c r="F350" s="37">
        <f>'Standing'!$D$35</f>
        <v>0</v>
      </c>
      <c r="G350" s="7">
        <f>'Reactive'!$D$22</f>
        <v>0</v>
      </c>
      <c r="H350" s="6">
        <f>IF(H$346&lt;&gt;0,(($B350*B$346+$C350*C$346+$D350*D$346+$G350*G$346))/H$346,0)</f>
        <v>0</v>
      </c>
      <c r="I350" s="17">
        <f>0.01*'Input'!$F$58*(E350*$E$346+F350*$F$346)+10*(B350*$B$346+C350*$C$346+D350*$D$346+G350*$G$346)</f>
        <v>0</v>
      </c>
      <c r="J350" s="6">
        <f>IF($H$346&lt;&gt;0,0.1*I350/$H$346,"")</f>
        <v>0</v>
      </c>
      <c r="K350" s="35">
        <f>IF($E$346&lt;&gt;0,I350/$E$346,"")</f>
        <v>0</v>
      </c>
      <c r="L350" s="35">
        <f>IF($F$346&lt;&gt;0,I350/$F$346*100/'Input'!$F$58,"")</f>
        <v>0</v>
      </c>
      <c r="M350" s="10"/>
    </row>
    <row r="351" spans="1:13">
      <c r="A351" s="11" t="s">
        <v>451</v>
      </c>
      <c r="B351" s="7">
        <f>'Standing'!$E$83</f>
        <v>0</v>
      </c>
      <c r="C351" s="7">
        <f>'Standing'!$E$104</f>
        <v>0</v>
      </c>
      <c r="D351" s="7">
        <f>'Standing'!$E$116</f>
        <v>0</v>
      </c>
      <c r="E351" s="9"/>
      <c r="F351" s="37">
        <f>'Standing'!$E$35</f>
        <v>0</v>
      </c>
      <c r="G351" s="7">
        <f>'Reactive'!$E$22</f>
        <v>0</v>
      </c>
      <c r="H351" s="6">
        <f>IF(H$346&lt;&gt;0,(($B351*B$346+$C351*C$346+$D351*D$346+$G351*G$346))/H$346,0)</f>
        <v>0</v>
      </c>
      <c r="I351" s="17">
        <f>0.01*'Input'!$F$58*(E351*$E$346+F351*$F$346)+10*(B351*$B$346+C351*$C$346+D351*$D$346+G351*$G$346)</f>
        <v>0</v>
      </c>
      <c r="J351" s="6">
        <f>IF($H$346&lt;&gt;0,0.1*I351/$H$346,"")</f>
        <v>0</v>
      </c>
      <c r="K351" s="35">
        <f>IF($E$346&lt;&gt;0,I351/$E$346,"")</f>
        <v>0</v>
      </c>
      <c r="L351" s="35">
        <f>IF($F$346&lt;&gt;0,I351/$F$346*100/'Input'!$F$58,"")</f>
        <v>0</v>
      </c>
      <c r="M351" s="10"/>
    </row>
    <row r="352" spans="1:13">
      <c r="A352" s="11" t="s">
        <v>452</v>
      </c>
      <c r="B352" s="7">
        <f>'Standing'!$F$83</f>
        <v>0</v>
      </c>
      <c r="C352" s="7">
        <f>'Standing'!$F$104</f>
        <v>0</v>
      </c>
      <c r="D352" s="7">
        <f>'Standing'!$F$116</f>
        <v>0</v>
      </c>
      <c r="E352" s="9"/>
      <c r="F352" s="37">
        <f>'Standing'!$F$35</f>
        <v>0</v>
      </c>
      <c r="G352" s="7">
        <f>'Reactive'!$F$22</f>
        <v>0</v>
      </c>
      <c r="H352" s="6">
        <f>IF(H$346&lt;&gt;0,(($B352*B$346+$C352*C$346+$D352*D$346+$G352*G$346))/H$346,0)</f>
        <v>0</v>
      </c>
      <c r="I352" s="17">
        <f>0.01*'Input'!$F$58*(E352*$E$346+F352*$F$346)+10*(B352*$B$346+C352*$C$346+D352*$D$346+G352*$G$346)</f>
        <v>0</v>
      </c>
      <c r="J352" s="6">
        <f>IF($H$346&lt;&gt;0,0.1*I352/$H$346,"")</f>
        <v>0</v>
      </c>
      <c r="K352" s="35">
        <f>IF($E$346&lt;&gt;0,I352/$E$346,"")</f>
        <v>0</v>
      </c>
      <c r="L352" s="35">
        <f>IF($F$346&lt;&gt;0,I352/$F$346*100/'Input'!$F$58,"")</f>
        <v>0</v>
      </c>
      <c r="M352" s="10"/>
    </row>
    <row r="353" spans="1:13">
      <c r="A353" s="11" t="s">
        <v>453</v>
      </c>
      <c r="B353" s="7">
        <f>'Standing'!$G$83</f>
        <v>0</v>
      </c>
      <c r="C353" s="7">
        <f>'Standing'!$G$104</f>
        <v>0</v>
      </c>
      <c r="D353" s="7">
        <f>'Standing'!$G$116</f>
        <v>0</v>
      </c>
      <c r="E353" s="9"/>
      <c r="F353" s="37">
        <f>'Standing'!$G$35</f>
        <v>0</v>
      </c>
      <c r="G353" s="7">
        <f>'Reactive'!$G$22</f>
        <v>0</v>
      </c>
      <c r="H353" s="6">
        <f>IF(H$346&lt;&gt;0,(($B353*B$346+$C353*C$346+$D353*D$346+$G353*G$346))/H$346,0)</f>
        <v>0</v>
      </c>
      <c r="I353" s="17">
        <f>0.01*'Input'!$F$58*(E353*$E$346+F353*$F$346)+10*(B353*$B$346+C353*$C$346+D353*$D$346+G353*$G$346)</f>
        <v>0</v>
      </c>
      <c r="J353" s="6">
        <f>IF($H$346&lt;&gt;0,0.1*I353/$H$346,"")</f>
        <v>0</v>
      </c>
      <c r="K353" s="35">
        <f>IF($E$346&lt;&gt;0,I353/$E$346,"")</f>
        <v>0</v>
      </c>
      <c r="L353" s="35">
        <f>IF($F$346&lt;&gt;0,I353/$F$346*100/'Input'!$F$58,"")</f>
        <v>0</v>
      </c>
      <c r="M353" s="10"/>
    </row>
    <row r="354" spans="1:13">
      <c r="A354" s="11" t="s">
        <v>454</v>
      </c>
      <c r="B354" s="7">
        <f>'Standing'!$H$83</f>
        <v>0</v>
      </c>
      <c r="C354" s="7">
        <f>'Standing'!$H$104</f>
        <v>0</v>
      </c>
      <c r="D354" s="7">
        <f>'Standing'!$H$116</f>
        <v>0</v>
      </c>
      <c r="E354" s="9"/>
      <c r="F354" s="37">
        <f>'Standing'!$H$35</f>
        <v>0</v>
      </c>
      <c r="G354" s="7">
        <f>'Reactive'!$H$22</f>
        <v>0</v>
      </c>
      <c r="H354" s="6">
        <f>IF(H$346&lt;&gt;0,(($B354*B$346+$C354*C$346+$D354*D$346+$G354*G$346))/H$346,0)</f>
        <v>0</v>
      </c>
      <c r="I354" s="17">
        <f>0.01*'Input'!$F$58*(E354*$E$346+F354*$F$346)+10*(B354*$B$346+C354*$C$346+D354*$D$346+G354*$G$346)</f>
        <v>0</v>
      </c>
      <c r="J354" s="6">
        <f>IF($H$346&lt;&gt;0,0.1*I354/$H$346,"")</f>
        <v>0</v>
      </c>
      <c r="K354" s="35">
        <f>IF($E$346&lt;&gt;0,I354/$E$346,"")</f>
        <v>0</v>
      </c>
      <c r="L354" s="35">
        <f>IF($F$346&lt;&gt;0,I354/$F$346*100/'Input'!$F$58,"")</f>
        <v>0</v>
      </c>
      <c r="M354" s="10"/>
    </row>
    <row r="355" spans="1:13">
      <c r="A355" s="11" t="s">
        <v>455</v>
      </c>
      <c r="B355" s="7">
        <f>'Standing'!$I$83</f>
        <v>0</v>
      </c>
      <c r="C355" s="7">
        <f>'Standing'!$I$104</f>
        <v>0</v>
      </c>
      <c r="D355" s="7">
        <f>'Standing'!$I$116</f>
        <v>0</v>
      </c>
      <c r="E355" s="9"/>
      <c r="F355" s="37">
        <f>'Standing'!$I$35</f>
        <v>0</v>
      </c>
      <c r="G355" s="7">
        <f>'Reactive'!$I$22</f>
        <v>0</v>
      </c>
      <c r="H355" s="6">
        <f>IF(H$346&lt;&gt;0,(($B355*B$346+$C355*C$346+$D355*D$346+$G355*G$346))/H$346,0)</f>
        <v>0</v>
      </c>
      <c r="I355" s="17">
        <f>0.01*'Input'!$F$58*(E355*$E$346+F355*$F$346)+10*(B355*$B$346+C355*$C$346+D355*$D$346+G355*$G$346)</f>
        <v>0</v>
      </c>
      <c r="J355" s="6">
        <f>IF($H$346&lt;&gt;0,0.1*I355/$H$346,"")</f>
        <v>0</v>
      </c>
      <c r="K355" s="35">
        <f>IF($E$346&lt;&gt;0,I355/$E$346,"")</f>
        <v>0</v>
      </c>
      <c r="L355" s="35">
        <f>IF($F$346&lt;&gt;0,I355/$F$346*100/'Input'!$F$58,"")</f>
        <v>0</v>
      </c>
      <c r="M355" s="10"/>
    </row>
    <row r="356" spans="1:13">
      <c r="A356" s="11" t="s">
        <v>456</v>
      </c>
      <c r="B356" s="7">
        <f>'Standing'!$J$83</f>
        <v>0</v>
      </c>
      <c r="C356" s="7">
        <f>'Standing'!$J$104</f>
        <v>0</v>
      </c>
      <c r="D356" s="7">
        <f>'Standing'!$J$116</f>
        <v>0</v>
      </c>
      <c r="E356" s="9"/>
      <c r="F356" s="37">
        <f>'Standing'!$J$35</f>
        <v>0</v>
      </c>
      <c r="G356" s="7">
        <f>'Reactive'!$J$22</f>
        <v>0</v>
      </c>
      <c r="H356" s="6">
        <f>IF(H$346&lt;&gt;0,(($B356*B$346+$C356*C$346+$D356*D$346+$G356*G$346))/H$346,0)</f>
        <v>0</v>
      </c>
      <c r="I356" s="17">
        <f>0.01*'Input'!$F$58*(E356*$E$346+F356*$F$346)+10*(B356*$B$346+C356*$C$346+D356*$D$346+G356*$G$346)</f>
        <v>0</v>
      </c>
      <c r="J356" s="6">
        <f>IF($H$346&lt;&gt;0,0.1*I356/$H$346,"")</f>
        <v>0</v>
      </c>
      <c r="K356" s="35">
        <f>IF($E$346&lt;&gt;0,I356/$E$346,"")</f>
        <v>0</v>
      </c>
      <c r="L356" s="35">
        <f>IF($F$346&lt;&gt;0,I356/$F$346*100/'Input'!$F$58,"")</f>
        <v>0</v>
      </c>
      <c r="M356" s="10"/>
    </row>
    <row r="357" spans="1:13">
      <c r="A357" s="11" t="s">
        <v>1597</v>
      </c>
      <c r="B357" s="9"/>
      <c r="C357" s="9"/>
      <c r="D357" s="9"/>
      <c r="E357" s="37">
        <f>'SM'!$B$112</f>
        <v>0</v>
      </c>
      <c r="F357" s="9"/>
      <c r="G357" s="9"/>
      <c r="H357" s="6">
        <f>IF(H$346&lt;&gt;0,(($B357*B$346+$C357*C$346+$D357*D$346+$G357*G$346))/H$346,0)</f>
        <v>0</v>
      </c>
      <c r="I357" s="17">
        <f>0.01*'Input'!$F$58*(E357*$E$346+F357*$F$346)+10*(B357*$B$346+C357*$C$346+D357*$D$346+G357*$G$346)</f>
        <v>0</v>
      </c>
      <c r="J357" s="6">
        <f>IF($H$346&lt;&gt;0,0.1*I357/$H$346,"")</f>
        <v>0</v>
      </c>
      <c r="K357" s="35">
        <f>IF($E$346&lt;&gt;0,I357/$E$346,"")</f>
        <v>0</v>
      </c>
      <c r="L357" s="35">
        <f>IF($F$346&lt;&gt;0,I357/$F$346*100/'Input'!$F$58,"")</f>
        <v>0</v>
      </c>
      <c r="M357" s="10"/>
    </row>
    <row r="358" spans="1:13">
      <c r="A358" s="11" t="s">
        <v>1598</v>
      </c>
      <c r="B358" s="9"/>
      <c r="C358" s="9"/>
      <c r="D358" s="9"/>
      <c r="E358" s="37">
        <f>'SM'!$C$112</f>
        <v>0</v>
      </c>
      <c r="F358" s="9"/>
      <c r="G358" s="9"/>
      <c r="H358" s="6">
        <f>IF(H$346&lt;&gt;0,(($B358*B$346+$C358*C$346+$D358*D$346+$G358*G$346))/H$346,0)</f>
        <v>0</v>
      </c>
      <c r="I358" s="17">
        <f>0.01*'Input'!$F$58*(E358*$E$346+F358*$F$346)+10*(B358*$B$346+C358*$C$346+D358*$D$346+G358*$G$346)</f>
        <v>0</v>
      </c>
      <c r="J358" s="6">
        <f>IF($H$346&lt;&gt;0,0.1*I358/$H$346,"")</f>
        <v>0</v>
      </c>
      <c r="K358" s="35">
        <f>IF($E$346&lt;&gt;0,I358/$E$346,"")</f>
        <v>0</v>
      </c>
      <c r="L358" s="35">
        <f>IF($F$346&lt;&gt;0,I358/$F$346*100/'Input'!$F$58,"")</f>
        <v>0</v>
      </c>
      <c r="M358" s="10"/>
    </row>
    <row r="359" spans="1:13">
      <c r="A359" s="11" t="s">
        <v>1599</v>
      </c>
      <c r="B359" s="7">
        <f>'Standing'!$K$83</f>
        <v>0</v>
      </c>
      <c r="C359" s="7">
        <f>'Standing'!$K$104</f>
        <v>0</v>
      </c>
      <c r="D359" s="7">
        <f>'Standing'!$K$116</f>
        <v>0</v>
      </c>
      <c r="E359" s="9"/>
      <c r="F359" s="37">
        <f>'Standing'!$K$35</f>
        <v>0</v>
      </c>
      <c r="G359" s="7">
        <f>'Reactive'!$K$22</f>
        <v>0</v>
      </c>
      <c r="H359" s="6">
        <f>IF(H$346&lt;&gt;0,(($B359*B$346+$C359*C$346+$D359*D$346+$G359*G$346))/H$346,0)</f>
        <v>0</v>
      </c>
      <c r="I359" s="17">
        <f>0.01*'Input'!$F$58*(E359*$E$346+F359*$F$346)+10*(B359*$B$346+C359*$C$346+D359*$D$346+G359*$G$346)</f>
        <v>0</v>
      </c>
      <c r="J359" s="6">
        <f>IF($H$346&lt;&gt;0,0.1*I359/$H$346,"")</f>
        <v>0</v>
      </c>
      <c r="K359" s="35">
        <f>IF($E$346&lt;&gt;0,I359/$E$346,"")</f>
        <v>0</v>
      </c>
      <c r="L359" s="35">
        <f>IF($F$346&lt;&gt;0,I359/$F$346*100/'Input'!$F$58,"")</f>
        <v>0</v>
      </c>
      <c r="M359" s="10"/>
    </row>
    <row r="360" spans="1:13">
      <c r="A360" s="11" t="s">
        <v>1600</v>
      </c>
      <c r="B360" s="7">
        <f>'Standing'!$L$83</f>
        <v>0</v>
      </c>
      <c r="C360" s="7">
        <f>'Standing'!$L$104</f>
        <v>0</v>
      </c>
      <c r="D360" s="7">
        <f>'Standing'!$L$116</f>
        <v>0</v>
      </c>
      <c r="E360" s="9"/>
      <c r="F360" s="37">
        <f>'Standing'!$L$35</f>
        <v>0</v>
      </c>
      <c r="G360" s="7">
        <f>'Reactive'!$L$22</f>
        <v>0</v>
      </c>
      <c r="H360" s="6">
        <f>IF(H$346&lt;&gt;0,(($B360*B$346+$C360*C$346+$D360*D$346+$G360*G$346))/H$346,0)</f>
        <v>0</v>
      </c>
      <c r="I360" s="17">
        <f>0.01*'Input'!$F$58*(E360*$E$346+F360*$F$346)+10*(B360*$B$346+C360*$C$346+D360*$D$346+G360*$G$346)</f>
        <v>0</v>
      </c>
      <c r="J360" s="6">
        <f>IF($H$346&lt;&gt;0,0.1*I360/$H$346,"")</f>
        <v>0</v>
      </c>
      <c r="K360" s="35">
        <f>IF($E$346&lt;&gt;0,I360/$E$346,"")</f>
        <v>0</v>
      </c>
      <c r="L360" s="35">
        <f>IF($F$346&lt;&gt;0,I360/$F$346*100/'Input'!$F$58,"")</f>
        <v>0</v>
      </c>
      <c r="M360" s="10"/>
    </row>
    <row r="361" spans="1:13">
      <c r="A361" s="11" t="s">
        <v>1601</v>
      </c>
      <c r="B361" s="7">
        <f>'Standing'!$M$83</f>
        <v>0</v>
      </c>
      <c r="C361" s="7">
        <f>'Standing'!$M$104</f>
        <v>0</v>
      </c>
      <c r="D361" s="7">
        <f>'Standing'!$M$116</f>
        <v>0</v>
      </c>
      <c r="E361" s="9"/>
      <c r="F361" s="37">
        <f>'Standing'!$M$35</f>
        <v>0</v>
      </c>
      <c r="G361" s="7">
        <f>'Reactive'!$M$22</f>
        <v>0</v>
      </c>
      <c r="H361" s="6">
        <f>IF(H$346&lt;&gt;0,(($B361*B$346+$C361*C$346+$D361*D$346+$G361*G$346))/H$346,0)</f>
        <v>0</v>
      </c>
      <c r="I361" s="17">
        <f>0.01*'Input'!$F$58*(E361*$E$346+F361*$F$346)+10*(B361*$B$346+C361*$C$346+D361*$D$346+G361*$G$346)</f>
        <v>0</v>
      </c>
      <c r="J361" s="6">
        <f>IF($H$346&lt;&gt;0,0.1*I361/$H$346,"")</f>
        <v>0</v>
      </c>
      <c r="K361" s="35">
        <f>IF($E$346&lt;&gt;0,I361/$E$346,"")</f>
        <v>0</v>
      </c>
      <c r="L361" s="35">
        <f>IF($F$346&lt;&gt;0,I361/$F$346*100/'Input'!$F$58,"")</f>
        <v>0</v>
      </c>
      <c r="M361" s="10"/>
    </row>
    <row r="362" spans="1:13">
      <c r="A362" s="11" t="s">
        <v>1602</v>
      </c>
      <c r="B362" s="7">
        <f>'Standing'!$N$83</f>
        <v>0</v>
      </c>
      <c r="C362" s="7">
        <f>'Standing'!$N$104</f>
        <v>0</v>
      </c>
      <c r="D362" s="7">
        <f>'Standing'!$N$116</f>
        <v>0</v>
      </c>
      <c r="E362" s="9"/>
      <c r="F362" s="37">
        <f>'Standing'!$N$35</f>
        <v>0</v>
      </c>
      <c r="G362" s="7">
        <f>'Reactive'!$N$22</f>
        <v>0</v>
      </c>
      <c r="H362" s="6">
        <f>IF(H$346&lt;&gt;0,(($B362*B$346+$C362*C$346+$D362*D$346+$G362*G$346))/H$346,0)</f>
        <v>0</v>
      </c>
      <c r="I362" s="17">
        <f>0.01*'Input'!$F$58*(E362*$E$346+F362*$F$346)+10*(B362*$B$346+C362*$C$346+D362*$D$346+G362*$G$346)</f>
        <v>0</v>
      </c>
      <c r="J362" s="6">
        <f>IF($H$346&lt;&gt;0,0.1*I362/$H$346,"")</f>
        <v>0</v>
      </c>
      <c r="K362" s="35">
        <f>IF($E$346&lt;&gt;0,I362/$E$346,"")</f>
        <v>0</v>
      </c>
      <c r="L362" s="35">
        <f>IF($F$346&lt;&gt;0,I362/$F$346*100/'Input'!$F$58,"")</f>
        <v>0</v>
      </c>
      <c r="M362" s="10"/>
    </row>
    <row r="363" spans="1:13">
      <c r="A363" s="11" t="s">
        <v>1603</v>
      </c>
      <c r="B363" s="7">
        <f>'Standing'!$O$83</f>
        <v>0</v>
      </c>
      <c r="C363" s="7">
        <f>'Standing'!$O$104</f>
        <v>0</v>
      </c>
      <c r="D363" s="7">
        <f>'Standing'!$O$116</f>
        <v>0</v>
      </c>
      <c r="E363" s="9"/>
      <c r="F363" s="37">
        <f>'Standing'!$O$35</f>
        <v>0</v>
      </c>
      <c r="G363" s="7">
        <f>'Reactive'!$O$22</f>
        <v>0</v>
      </c>
      <c r="H363" s="6">
        <f>IF(H$346&lt;&gt;0,(($B363*B$346+$C363*C$346+$D363*D$346+$G363*G$346))/H$346,0)</f>
        <v>0</v>
      </c>
      <c r="I363" s="17">
        <f>0.01*'Input'!$F$58*(E363*$E$346+F363*$F$346)+10*(B363*$B$346+C363*$C$346+D363*$D$346+G363*$G$346)</f>
        <v>0</v>
      </c>
      <c r="J363" s="6">
        <f>IF($H$346&lt;&gt;0,0.1*I363/$H$346,"")</f>
        <v>0</v>
      </c>
      <c r="K363" s="35">
        <f>IF($E$346&lt;&gt;0,I363/$E$346,"")</f>
        <v>0</v>
      </c>
      <c r="L363" s="35">
        <f>IF($F$346&lt;&gt;0,I363/$F$346*100/'Input'!$F$58,"")</f>
        <v>0</v>
      </c>
      <c r="M363" s="10"/>
    </row>
    <row r="364" spans="1:13">
      <c r="A364" s="11" t="s">
        <v>1604</v>
      </c>
      <c r="B364" s="7">
        <f>'Standing'!$P$83</f>
        <v>0</v>
      </c>
      <c r="C364" s="7">
        <f>'Standing'!$P$104</f>
        <v>0</v>
      </c>
      <c r="D364" s="7">
        <f>'Standing'!$P$116</f>
        <v>0</v>
      </c>
      <c r="E364" s="9"/>
      <c r="F364" s="37">
        <f>'Standing'!$P$35</f>
        <v>0</v>
      </c>
      <c r="G364" s="7">
        <f>'Reactive'!$P$22</f>
        <v>0</v>
      </c>
      <c r="H364" s="6">
        <f>IF(H$346&lt;&gt;0,(($B364*B$346+$C364*C$346+$D364*D$346+$G364*G$346))/H$346,0)</f>
        <v>0</v>
      </c>
      <c r="I364" s="17">
        <f>0.01*'Input'!$F$58*(E364*$E$346+F364*$F$346)+10*(B364*$B$346+C364*$C$346+D364*$D$346+G364*$G$346)</f>
        <v>0</v>
      </c>
      <c r="J364" s="6">
        <f>IF($H$346&lt;&gt;0,0.1*I364/$H$346,"")</f>
        <v>0</v>
      </c>
      <c r="K364" s="35">
        <f>IF($E$346&lt;&gt;0,I364/$E$346,"")</f>
        <v>0</v>
      </c>
      <c r="L364" s="35">
        <f>IF($F$346&lt;&gt;0,I364/$F$346*100/'Input'!$F$58,"")</f>
        <v>0</v>
      </c>
      <c r="M364" s="10"/>
    </row>
    <row r="365" spans="1:13">
      <c r="A365" s="11" t="s">
        <v>1605</v>
      </c>
      <c r="B365" s="7">
        <f>'Standing'!$Q$83</f>
        <v>0</v>
      </c>
      <c r="C365" s="7">
        <f>'Standing'!$Q$104</f>
        <v>0</v>
      </c>
      <c r="D365" s="7">
        <f>'Standing'!$Q$116</f>
        <v>0</v>
      </c>
      <c r="E365" s="9"/>
      <c r="F365" s="37">
        <f>'Standing'!$Q$35</f>
        <v>0</v>
      </c>
      <c r="G365" s="7">
        <f>'Reactive'!$Q$22</f>
        <v>0</v>
      </c>
      <c r="H365" s="6">
        <f>IF(H$346&lt;&gt;0,(($B365*B$346+$C365*C$346+$D365*D$346+$G365*G$346))/H$346,0)</f>
        <v>0</v>
      </c>
      <c r="I365" s="17">
        <f>0.01*'Input'!$F$58*(E365*$E$346+F365*$F$346)+10*(B365*$B$346+C365*$C$346+D365*$D$346+G365*$G$346)</f>
        <v>0</v>
      </c>
      <c r="J365" s="6">
        <f>IF($H$346&lt;&gt;0,0.1*I365/$H$346,"")</f>
        <v>0</v>
      </c>
      <c r="K365" s="35">
        <f>IF($E$346&lt;&gt;0,I365/$E$346,"")</f>
        <v>0</v>
      </c>
      <c r="L365" s="35">
        <f>IF($F$346&lt;&gt;0,I365/$F$346*100/'Input'!$F$58,"")</f>
        <v>0</v>
      </c>
      <c r="M365" s="10"/>
    </row>
    <row r="366" spans="1:13">
      <c r="A366" s="11" t="s">
        <v>1606</v>
      </c>
      <c r="B366" s="7">
        <f>'Standing'!$R$83</f>
        <v>0</v>
      </c>
      <c r="C366" s="7">
        <f>'Standing'!$R$104</f>
        <v>0</v>
      </c>
      <c r="D366" s="7">
        <f>'Standing'!$R$116</f>
        <v>0</v>
      </c>
      <c r="E366" s="9"/>
      <c r="F366" s="37">
        <f>'Standing'!$R$35</f>
        <v>0</v>
      </c>
      <c r="G366" s="7">
        <f>'Reactive'!$R$22</f>
        <v>0</v>
      </c>
      <c r="H366" s="6">
        <f>IF(H$346&lt;&gt;0,(($B366*B$346+$C366*C$346+$D366*D$346+$G366*G$346))/H$346,0)</f>
        <v>0</v>
      </c>
      <c r="I366" s="17">
        <f>0.01*'Input'!$F$58*(E366*$E$346+F366*$F$346)+10*(B366*$B$346+C366*$C$346+D366*$D$346+G366*$G$346)</f>
        <v>0</v>
      </c>
      <c r="J366" s="6">
        <f>IF($H$346&lt;&gt;0,0.1*I366/$H$346,"")</f>
        <v>0</v>
      </c>
      <c r="K366" s="35">
        <f>IF($E$346&lt;&gt;0,I366/$E$346,"")</f>
        <v>0</v>
      </c>
      <c r="L366" s="35">
        <f>IF($F$346&lt;&gt;0,I366/$F$346*100/'Input'!$F$58,"")</f>
        <v>0</v>
      </c>
      <c r="M366" s="10"/>
    </row>
    <row r="367" spans="1:13">
      <c r="A367" s="11" t="s">
        <v>1607</v>
      </c>
      <c r="B367" s="7">
        <f>'Standing'!$S$83</f>
        <v>0</v>
      </c>
      <c r="C367" s="7">
        <f>'Standing'!$S$104</f>
        <v>0</v>
      </c>
      <c r="D367" s="7">
        <f>'Standing'!$S$116</f>
        <v>0</v>
      </c>
      <c r="E367" s="9"/>
      <c r="F367" s="37">
        <f>'Standing'!$S$35</f>
        <v>0</v>
      </c>
      <c r="G367" s="7">
        <f>'Reactive'!$S$22</f>
        <v>0</v>
      </c>
      <c r="H367" s="6">
        <f>IF(H$346&lt;&gt;0,(($B367*B$346+$C367*C$346+$D367*D$346+$G367*G$346))/H$346,0)</f>
        <v>0</v>
      </c>
      <c r="I367" s="17">
        <f>0.01*'Input'!$F$58*(E367*$E$346+F367*$F$346)+10*(B367*$B$346+C367*$C$346+D367*$D$346+G367*$G$346)</f>
        <v>0</v>
      </c>
      <c r="J367" s="6">
        <f>IF($H$346&lt;&gt;0,0.1*I367/$H$346,"")</f>
        <v>0</v>
      </c>
      <c r="K367" s="35">
        <f>IF($E$346&lt;&gt;0,I367/$E$346,"")</f>
        <v>0</v>
      </c>
      <c r="L367" s="35">
        <f>IF($F$346&lt;&gt;0,I367/$F$346*100/'Input'!$F$58,"")</f>
        <v>0</v>
      </c>
      <c r="M367" s="10"/>
    </row>
    <row r="368" spans="1:13">
      <c r="A368" s="11" t="s">
        <v>1608</v>
      </c>
      <c r="B368" s="9"/>
      <c r="C368" s="9"/>
      <c r="D368" s="9"/>
      <c r="E368" s="37">
        <f>'Otex'!$B$131</f>
        <v>0</v>
      </c>
      <c r="F368" s="9"/>
      <c r="G368" s="9"/>
      <c r="H368" s="6">
        <f>IF(H$346&lt;&gt;0,(($B368*B$346+$C368*C$346+$D368*D$346+$G368*G$346))/H$346,0)</f>
        <v>0</v>
      </c>
      <c r="I368" s="17">
        <f>0.01*'Input'!$F$58*(E368*$E$346+F368*$F$346)+10*(B368*$B$346+C368*$C$346+D368*$D$346+G368*$G$346)</f>
        <v>0</v>
      </c>
      <c r="J368" s="6">
        <f>IF($H$346&lt;&gt;0,0.1*I368/$H$346,"")</f>
        <v>0</v>
      </c>
      <c r="K368" s="35">
        <f>IF($E$346&lt;&gt;0,I368/$E$346,"")</f>
        <v>0</v>
      </c>
      <c r="L368" s="35">
        <f>IF($F$346&lt;&gt;0,I368/$F$346*100/'Input'!$F$58,"")</f>
        <v>0</v>
      </c>
      <c r="M368" s="10"/>
    </row>
    <row r="369" spans="1:13">
      <c r="A369" s="11" t="s">
        <v>1609</v>
      </c>
      <c r="B369" s="9"/>
      <c r="C369" s="9"/>
      <c r="D369" s="9"/>
      <c r="E369" s="37">
        <f>'Otex'!$C$131</f>
        <v>0</v>
      </c>
      <c r="F369" s="9"/>
      <c r="G369" s="9"/>
      <c r="H369" s="6">
        <f>IF(H$346&lt;&gt;0,(($B369*B$346+$C369*C$346+$D369*D$346+$G369*G$346))/H$346,0)</f>
        <v>0</v>
      </c>
      <c r="I369" s="17">
        <f>0.01*'Input'!$F$58*(E369*$E$346+F369*$F$346)+10*(B369*$B$346+C369*$C$346+D369*$D$346+G369*$G$346)</f>
        <v>0</v>
      </c>
      <c r="J369" s="6">
        <f>IF($H$346&lt;&gt;0,0.1*I369/$H$346,"")</f>
        <v>0</v>
      </c>
      <c r="K369" s="35">
        <f>IF($E$346&lt;&gt;0,I369/$E$346,"")</f>
        <v>0</v>
      </c>
      <c r="L369" s="35">
        <f>IF($F$346&lt;&gt;0,I369/$F$346*100/'Input'!$F$58,"")</f>
        <v>0</v>
      </c>
      <c r="M369" s="10"/>
    </row>
    <row r="370" spans="1:13">
      <c r="A370" s="11" t="s">
        <v>1610</v>
      </c>
      <c r="B370" s="7">
        <f>'Adder'!$B$752</f>
        <v>0</v>
      </c>
      <c r="C370" s="7">
        <f>'Adder'!$C$752</f>
        <v>0</v>
      </c>
      <c r="D370" s="7">
        <f>'Adder'!$D$752</f>
        <v>0</v>
      </c>
      <c r="E370" s="37">
        <f>'Adder'!$E$752</f>
        <v>0</v>
      </c>
      <c r="F370" s="37">
        <f>'Adder'!$F$752</f>
        <v>0</v>
      </c>
      <c r="G370" s="7">
        <f>'Adder'!$G$752</f>
        <v>0</v>
      </c>
      <c r="H370" s="6">
        <f>IF(H$346&lt;&gt;0,(($B370*B$346+$C370*C$346+$D370*D$346+$G370*G$346))/H$346,0)</f>
        <v>0</v>
      </c>
      <c r="I370" s="17">
        <f>0.01*'Input'!$F$58*(E370*$E$346+F370*$F$346)+10*(B370*$B$346+C370*$C$346+D370*$D$346+G370*$G$346)</f>
        <v>0</v>
      </c>
      <c r="J370" s="6">
        <f>IF($H$346&lt;&gt;0,0.1*I370/$H$346,"")</f>
        <v>0</v>
      </c>
      <c r="K370" s="35">
        <f>IF($E$346&lt;&gt;0,I370/$E$346,"")</f>
        <v>0</v>
      </c>
      <c r="L370" s="35">
        <f>IF($F$346&lt;&gt;0,I370/$F$346*100/'Input'!$F$58,"")</f>
        <v>0</v>
      </c>
      <c r="M370" s="10"/>
    </row>
    <row r="371" spans="1:13">
      <c r="A371" s="11" t="s">
        <v>1611</v>
      </c>
      <c r="B371" s="7">
        <f>'Adjust'!$B$80</f>
        <v>0</v>
      </c>
      <c r="C371" s="7">
        <f>'Adjust'!$C$80</f>
        <v>0</v>
      </c>
      <c r="D371" s="7">
        <f>'Adjust'!$D$80</f>
        <v>0</v>
      </c>
      <c r="E371" s="37">
        <f>'Adjust'!$E$80</f>
        <v>0</v>
      </c>
      <c r="F371" s="37">
        <f>'Adjust'!$F$80</f>
        <v>0</v>
      </c>
      <c r="G371" s="7">
        <f>'Adjust'!$G$80</f>
        <v>0</v>
      </c>
      <c r="H371" s="6">
        <f>IF(H$346&lt;&gt;0,(($B371*B$346+$C371*C$346+$D371*D$346+$G371*G$346))/H$346,0)</f>
        <v>0</v>
      </c>
      <c r="I371" s="17">
        <f>0.01*'Input'!$F$58*(E371*$E$346+F371*$F$346)+10*(B371*$B$346+C371*$C$346+D371*$D$346+G371*$G$346)</f>
        <v>0</v>
      </c>
      <c r="J371" s="6">
        <f>IF($H$346&lt;&gt;0,0.1*I371/$H$346,"")</f>
        <v>0</v>
      </c>
      <c r="K371" s="35">
        <f>IF($E$346&lt;&gt;0,I371/$E$346,"")</f>
        <v>0</v>
      </c>
      <c r="L371" s="35">
        <f>IF($F$346&lt;&gt;0,I371/$F$346*100/'Input'!$F$58,"")</f>
        <v>0</v>
      </c>
      <c r="M371" s="10"/>
    </row>
    <row r="373" spans="1:13">
      <c r="A373" s="11" t="s">
        <v>1612</v>
      </c>
      <c r="B373" s="6">
        <f>SUM($B$349:$B$371)</f>
        <v>0</v>
      </c>
      <c r="C373" s="6">
        <f>SUM($C$349:$C$371)</f>
        <v>0</v>
      </c>
      <c r="D373" s="6">
        <f>SUM($D$349:$D$371)</f>
        <v>0</v>
      </c>
      <c r="E373" s="35">
        <f>SUM($E$349:$E$371)</f>
        <v>0</v>
      </c>
      <c r="F373" s="35">
        <f>SUM($F$349:$F$371)</f>
        <v>0</v>
      </c>
      <c r="G373" s="6">
        <f>SUM($G$349:$G$371)</f>
        <v>0</v>
      </c>
      <c r="H373" s="6">
        <f>SUM(H$349:H$371)</f>
        <v>0</v>
      </c>
      <c r="I373" s="17">
        <f>SUM($I$349:$I$371)</f>
        <v>0</v>
      </c>
      <c r="J373" s="6">
        <f>SUM($J$349:$J$371)</f>
        <v>0</v>
      </c>
      <c r="K373" s="35">
        <f>SUM($K$349:$K$371)</f>
        <v>0</v>
      </c>
      <c r="L373" s="35">
        <f>SUM($L$349:$L$371)</f>
        <v>0</v>
      </c>
    </row>
    <row r="375" spans="1:13">
      <c r="A375" s="1" t="s">
        <v>192</v>
      </c>
    </row>
    <row r="377" spans="1:13">
      <c r="B377" s="3" t="s">
        <v>221</v>
      </c>
      <c r="C377" s="3" t="s">
        <v>222</v>
      </c>
      <c r="D377" s="3" t="s">
        <v>223</v>
      </c>
      <c r="E377" s="3" t="s">
        <v>224</v>
      </c>
      <c r="F377" s="3" t="s">
        <v>225</v>
      </c>
      <c r="G377" s="3" t="s">
        <v>226</v>
      </c>
      <c r="H377" s="3" t="s">
        <v>1593</v>
      </c>
      <c r="I377" s="3" t="s">
        <v>1594</v>
      </c>
    </row>
    <row r="378" spans="1:13">
      <c r="A378" s="11" t="s">
        <v>192</v>
      </c>
      <c r="B378" s="33">
        <f>'Loads'!B$293</f>
        <v>0</v>
      </c>
      <c r="C378" s="33">
        <f>'Loads'!C$293</f>
        <v>0</v>
      </c>
      <c r="D378" s="33">
        <f>'Loads'!D$293</f>
        <v>0</v>
      </c>
      <c r="E378" s="33">
        <f>'Loads'!E$293</f>
        <v>0</v>
      </c>
      <c r="F378" s="33">
        <f>'Loads'!F$293</f>
        <v>0</v>
      </c>
      <c r="G378" s="33">
        <f>'Loads'!G$293</f>
        <v>0</v>
      </c>
      <c r="H378" s="33">
        <f>'Multi'!B$120</f>
        <v>0</v>
      </c>
      <c r="I378" s="6">
        <f>IF(E378,H378/E378,"")</f>
        <v>0</v>
      </c>
      <c r="J378" s="10"/>
    </row>
    <row r="380" spans="1:13">
      <c r="B380" s="3" t="s">
        <v>1416</v>
      </c>
      <c r="C380" s="3" t="s">
        <v>1417</v>
      </c>
      <c r="D380" s="3" t="s">
        <v>1418</v>
      </c>
      <c r="E380" s="3" t="s">
        <v>1419</v>
      </c>
      <c r="F380" s="3" t="s">
        <v>1420</v>
      </c>
      <c r="G380" s="3" t="s">
        <v>1047</v>
      </c>
      <c r="H380" s="3" t="s">
        <v>1613</v>
      </c>
      <c r="I380" s="3" t="s">
        <v>1595</v>
      </c>
      <c r="J380" s="3" t="s">
        <v>1565</v>
      </c>
      <c r="K380" s="3" t="s">
        <v>1596</v>
      </c>
      <c r="L380" s="3" t="s">
        <v>1614</v>
      </c>
    </row>
    <row r="381" spans="1:13">
      <c r="A381" s="11" t="s">
        <v>449</v>
      </c>
      <c r="B381" s="7">
        <f>'Standing'!$C$84</f>
        <v>0</v>
      </c>
      <c r="C381" s="7">
        <f>'Standing'!$C$105</f>
        <v>0</v>
      </c>
      <c r="D381" s="7">
        <f>'Standing'!$C$117</f>
        <v>0</v>
      </c>
      <c r="E381" s="9"/>
      <c r="F381" s="37">
        <f>'Standing'!$C$36</f>
        <v>0</v>
      </c>
      <c r="G381" s="7">
        <f>'Reactive'!$C$23</f>
        <v>0</v>
      </c>
      <c r="H381" s="6">
        <f>IF(H$378&lt;&gt;0,(($B381*B$378+$C381*C$378+$D381*D$378+$G381*G$378))/H$378,0)</f>
        <v>0</v>
      </c>
      <c r="I381" s="17">
        <f>0.01*'Input'!$F$58*(E381*$E$378+F381*$F$378)+10*(B381*$B$378+C381*$C$378+D381*$D$378+G381*$G$378)</f>
        <v>0</v>
      </c>
      <c r="J381" s="6">
        <f>IF($H$378&lt;&gt;0,0.1*I381/$H$378,"")</f>
        <v>0</v>
      </c>
      <c r="K381" s="35">
        <f>IF($E$378&lt;&gt;0,I381/$E$378,"")</f>
        <v>0</v>
      </c>
      <c r="L381" s="35">
        <f>IF($F$378&lt;&gt;0,I381/$F$378*100/'Input'!$F$58,"")</f>
        <v>0</v>
      </c>
      <c r="M381" s="10"/>
    </row>
    <row r="382" spans="1:13">
      <c r="A382" s="11" t="s">
        <v>450</v>
      </c>
      <c r="B382" s="7">
        <f>'Standing'!$D$84</f>
        <v>0</v>
      </c>
      <c r="C382" s="7">
        <f>'Standing'!$D$105</f>
        <v>0</v>
      </c>
      <c r="D382" s="7">
        <f>'Standing'!$D$117</f>
        <v>0</v>
      </c>
      <c r="E382" s="9"/>
      <c r="F382" s="37">
        <f>'Standing'!$D$36</f>
        <v>0</v>
      </c>
      <c r="G382" s="7">
        <f>'Reactive'!$D$23</f>
        <v>0</v>
      </c>
      <c r="H382" s="6">
        <f>IF(H$378&lt;&gt;0,(($B382*B$378+$C382*C$378+$D382*D$378+$G382*G$378))/H$378,0)</f>
        <v>0</v>
      </c>
      <c r="I382" s="17">
        <f>0.01*'Input'!$F$58*(E382*$E$378+F382*$F$378)+10*(B382*$B$378+C382*$C$378+D382*$D$378+G382*$G$378)</f>
        <v>0</v>
      </c>
      <c r="J382" s="6">
        <f>IF($H$378&lt;&gt;0,0.1*I382/$H$378,"")</f>
        <v>0</v>
      </c>
      <c r="K382" s="35">
        <f>IF($E$378&lt;&gt;0,I382/$E$378,"")</f>
        <v>0</v>
      </c>
      <c r="L382" s="35">
        <f>IF($F$378&lt;&gt;0,I382/$F$378*100/'Input'!$F$58,"")</f>
        <v>0</v>
      </c>
      <c r="M382" s="10"/>
    </row>
    <row r="383" spans="1:13">
      <c r="A383" s="11" t="s">
        <v>451</v>
      </c>
      <c r="B383" s="7">
        <f>'Standing'!$E$84</f>
        <v>0</v>
      </c>
      <c r="C383" s="7">
        <f>'Standing'!$E$105</f>
        <v>0</v>
      </c>
      <c r="D383" s="7">
        <f>'Standing'!$E$117</f>
        <v>0</v>
      </c>
      <c r="E383" s="9"/>
      <c r="F383" s="37">
        <f>'Standing'!$E$36</f>
        <v>0</v>
      </c>
      <c r="G383" s="7">
        <f>'Reactive'!$E$23</f>
        <v>0</v>
      </c>
      <c r="H383" s="6">
        <f>IF(H$378&lt;&gt;0,(($B383*B$378+$C383*C$378+$D383*D$378+$G383*G$378))/H$378,0)</f>
        <v>0</v>
      </c>
      <c r="I383" s="17">
        <f>0.01*'Input'!$F$58*(E383*$E$378+F383*$F$378)+10*(B383*$B$378+C383*$C$378+D383*$D$378+G383*$G$378)</f>
        <v>0</v>
      </c>
      <c r="J383" s="6">
        <f>IF($H$378&lt;&gt;0,0.1*I383/$H$378,"")</f>
        <v>0</v>
      </c>
      <c r="K383" s="35">
        <f>IF($E$378&lt;&gt;0,I383/$E$378,"")</f>
        <v>0</v>
      </c>
      <c r="L383" s="35">
        <f>IF($F$378&lt;&gt;0,I383/$F$378*100/'Input'!$F$58,"")</f>
        <v>0</v>
      </c>
      <c r="M383" s="10"/>
    </row>
    <row r="384" spans="1:13">
      <c r="A384" s="11" t="s">
        <v>452</v>
      </c>
      <c r="B384" s="7">
        <f>'Standing'!$F$84</f>
        <v>0</v>
      </c>
      <c r="C384" s="7">
        <f>'Standing'!$F$105</f>
        <v>0</v>
      </c>
      <c r="D384" s="7">
        <f>'Standing'!$F$117</f>
        <v>0</v>
      </c>
      <c r="E384" s="9"/>
      <c r="F384" s="37">
        <f>'Standing'!$F$36</f>
        <v>0</v>
      </c>
      <c r="G384" s="7">
        <f>'Reactive'!$F$23</f>
        <v>0</v>
      </c>
      <c r="H384" s="6">
        <f>IF(H$378&lt;&gt;0,(($B384*B$378+$C384*C$378+$D384*D$378+$G384*G$378))/H$378,0)</f>
        <v>0</v>
      </c>
      <c r="I384" s="17">
        <f>0.01*'Input'!$F$58*(E384*$E$378+F384*$F$378)+10*(B384*$B$378+C384*$C$378+D384*$D$378+G384*$G$378)</f>
        <v>0</v>
      </c>
      <c r="J384" s="6">
        <f>IF($H$378&lt;&gt;0,0.1*I384/$H$378,"")</f>
        <v>0</v>
      </c>
      <c r="K384" s="35">
        <f>IF($E$378&lt;&gt;0,I384/$E$378,"")</f>
        <v>0</v>
      </c>
      <c r="L384" s="35">
        <f>IF($F$378&lt;&gt;0,I384/$F$378*100/'Input'!$F$58,"")</f>
        <v>0</v>
      </c>
      <c r="M384" s="10"/>
    </row>
    <row r="385" spans="1:13">
      <c r="A385" s="11" t="s">
        <v>453</v>
      </c>
      <c r="B385" s="7">
        <f>'Standing'!$G$84</f>
        <v>0</v>
      </c>
      <c r="C385" s="7">
        <f>'Standing'!$G$105</f>
        <v>0</v>
      </c>
      <c r="D385" s="7">
        <f>'Standing'!$G$117</f>
        <v>0</v>
      </c>
      <c r="E385" s="9"/>
      <c r="F385" s="37">
        <f>'Standing'!$G$36</f>
        <v>0</v>
      </c>
      <c r="G385" s="7">
        <f>'Reactive'!$G$23</f>
        <v>0</v>
      </c>
      <c r="H385" s="6">
        <f>IF(H$378&lt;&gt;0,(($B385*B$378+$C385*C$378+$D385*D$378+$G385*G$378))/H$378,0)</f>
        <v>0</v>
      </c>
      <c r="I385" s="17">
        <f>0.01*'Input'!$F$58*(E385*$E$378+F385*$F$378)+10*(B385*$B$378+C385*$C$378+D385*$D$378+G385*$G$378)</f>
        <v>0</v>
      </c>
      <c r="J385" s="6">
        <f>IF($H$378&lt;&gt;0,0.1*I385/$H$378,"")</f>
        <v>0</v>
      </c>
      <c r="K385" s="35">
        <f>IF($E$378&lt;&gt;0,I385/$E$378,"")</f>
        <v>0</v>
      </c>
      <c r="L385" s="35">
        <f>IF($F$378&lt;&gt;0,I385/$F$378*100/'Input'!$F$58,"")</f>
        <v>0</v>
      </c>
      <c r="M385" s="10"/>
    </row>
    <row r="386" spans="1:13">
      <c r="A386" s="11" t="s">
        <v>454</v>
      </c>
      <c r="B386" s="7">
        <f>'Standing'!$H$84</f>
        <v>0</v>
      </c>
      <c r="C386" s="7">
        <f>'Standing'!$H$105</f>
        <v>0</v>
      </c>
      <c r="D386" s="7">
        <f>'Standing'!$H$117</f>
        <v>0</v>
      </c>
      <c r="E386" s="9"/>
      <c r="F386" s="37">
        <f>'Standing'!$H$36</f>
        <v>0</v>
      </c>
      <c r="G386" s="7">
        <f>'Reactive'!$H$23</f>
        <v>0</v>
      </c>
      <c r="H386" s="6">
        <f>IF(H$378&lt;&gt;0,(($B386*B$378+$C386*C$378+$D386*D$378+$G386*G$378))/H$378,0)</f>
        <v>0</v>
      </c>
      <c r="I386" s="17">
        <f>0.01*'Input'!$F$58*(E386*$E$378+F386*$F$378)+10*(B386*$B$378+C386*$C$378+D386*$D$378+G386*$G$378)</f>
        <v>0</v>
      </c>
      <c r="J386" s="6">
        <f>IF($H$378&lt;&gt;0,0.1*I386/$H$378,"")</f>
        <v>0</v>
      </c>
      <c r="K386" s="35">
        <f>IF($E$378&lt;&gt;0,I386/$E$378,"")</f>
        <v>0</v>
      </c>
      <c r="L386" s="35">
        <f>IF($F$378&lt;&gt;0,I386/$F$378*100/'Input'!$F$58,"")</f>
        <v>0</v>
      </c>
      <c r="M386" s="10"/>
    </row>
    <row r="387" spans="1:13">
      <c r="A387" s="11" t="s">
        <v>455</v>
      </c>
      <c r="B387" s="7">
        <f>'Standing'!$I$84</f>
        <v>0</v>
      </c>
      <c r="C387" s="7">
        <f>'Standing'!$I$105</f>
        <v>0</v>
      </c>
      <c r="D387" s="7">
        <f>'Standing'!$I$117</f>
        <v>0</v>
      </c>
      <c r="E387" s="9"/>
      <c r="F387" s="37">
        <f>'Standing'!$I$36</f>
        <v>0</v>
      </c>
      <c r="G387" s="7">
        <f>'Reactive'!$I$23</f>
        <v>0</v>
      </c>
      <c r="H387" s="6">
        <f>IF(H$378&lt;&gt;0,(($B387*B$378+$C387*C$378+$D387*D$378+$G387*G$378))/H$378,0)</f>
        <v>0</v>
      </c>
      <c r="I387" s="17">
        <f>0.01*'Input'!$F$58*(E387*$E$378+F387*$F$378)+10*(B387*$B$378+C387*$C$378+D387*$D$378+G387*$G$378)</f>
        <v>0</v>
      </c>
      <c r="J387" s="6">
        <f>IF($H$378&lt;&gt;0,0.1*I387/$H$378,"")</f>
        <v>0</v>
      </c>
      <c r="K387" s="35">
        <f>IF($E$378&lt;&gt;0,I387/$E$378,"")</f>
        <v>0</v>
      </c>
      <c r="L387" s="35">
        <f>IF($F$378&lt;&gt;0,I387/$F$378*100/'Input'!$F$58,"")</f>
        <v>0</v>
      </c>
      <c r="M387" s="10"/>
    </row>
    <row r="388" spans="1:13">
      <c r="A388" s="11" t="s">
        <v>456</v>
      </c>
      <c r="B388" s="7">
        <f>'Standing'!$J$84</f>
        <v>0</v>
      </c>
      <c r="C388" s="7">
        <f>'Standing'!$J$105</f>
        <v>0</v>
      </c>
      <c r="D388" s="7">
        <f>'Standing'!$J$117</f>
        <v>0</v>
      </c>
      <c r="E388" s="9"/>
      <c r="F388" s="37">
        <f>'Standing'!$J$36</f>
        <v>0</v>
      </c>
      <c r="G388" s="7">
        <f>'Reactive'!$J$23</f>
        <v>0</v>
      </c>
      <c r="H388" s="6">
        <f>IF(H$378&lt;&gt;0,(($B388*B$378+$C388*C$378+$D388*D$378+$G388*G$378))/H$378,0)</f>
        <v>0</v>
      </c>
      <c r="I388" s="17">
        <f>0.01*'Input'!$F$58*(E388*$E$378+F388*$F$378)+10*(B388*$B$378+C388*$C$378+D388*$D$378+G388*$G$378)</f>
        <v>0</v>
      </c>
      <c r="J388" s="6">
        <f>IF($H$378&lt;&gt;0,0.1*I388/$H$378,"")</f>
        <v>0</v>
      </c>
      <c r="K388" s="35">
        <f>IF($E$378&lt;&gt;0,I388/$E$378,"")</f>
        <v>0</v>
      </c>
      <c r="L388" s="35">
        <f>IF($F$378&lt;&gt;0,I388/$F$378*100/'Input'!$F$58,"")</f>
        <v>0</v>
      </c>
      <c r="M388" s="10"/>
    </row>
    <row r="389" spans="1:13">
      <c r="A389" s="11" t="s">
        <v>1597</v>
      </c>
      <c r="B389" s="9"/>
      <c r="C389" s="9"/>
      <c r="D389" s="9"/>
      <c r="E389" s="37">
        <f>'SM'!$B$113</f>
        <v>0</v>
      </c>
      <c r="F389" s="9"/>
      <c r="G389" s="9"/>
      <c r="H389" s="6">
        <f>IF(H$378&lt;&gt;0,(($B389*B$378+$C389*C$378+$D389*D$378+$G389*G$378))/H$378,0)</f>
        <v>0</v>
      </c>
      <c r="I389" s="17">
        <f>0.01*'Input'!$F$58*(E389*$E$378+F389*$F$378)+10*(B389*$B$378+C389*$C$378+D389*$D$378+G389*$G$378)</f>
        <v>0</v>
      </c>
      <c r="J389" s="6">
        <f>IF($H$378&lt;&gt;0,0.1*I389/$H$378,"")</f>
        <v>0</v>
      </c>
      <c r="K389" s="35">
        <f>IF($E$378&lt;&gt;0,I389/$E$378,"")</f>
        <v>0</v>
      </c>
      <c r="L389" s="35">
        <f>IF($F$378&lt;&gt;0,I389/$F$378*100/'Input'!$F$58,"")</f>
        <v>0</v>
      </c>
      <c r="M389" s="10"/>
    </row>
    <row r="390" spans="1:13">
      <c r="A390" s="11" t="s">
        <v>1598</v>
      </c>
      <c r="B390" s="9"/>
      <c r="C390" s="9"/>
      <c r="D390" s="9"/>
      <c r="E390" s="37">
        <f>'SM'!$C$113</f>
        <v>0</v>
      </c>
      <c r="F390" s="9"/>
      <c r="G390" s="9"/>
      <c r="H390" s="6">
        <f>IF(H$378&lt;&gt;0,(($B390*B$378+$C390*C$378+$D390*D$378+$G390*G$378))/H$378,0)</f>
        <v>0</v>
      </c>
      <c r="I390" s="17">
        <f>0.01*'Input'!$F$58*(E390*$E$378+F390*$F$378)+10*(B390*$B$378+C390*$C$378+D390*$D$378+G390*$G$378)</f>
        <v>0</v>
      </c>
      <c r="J390" s="6">
        <f>IF($H$378&lt;&gt;0,0.1*I390/$H$378,"")</f>
        <v>0</v>
      </c>
      <c r="K390" s="35">
        <f>IF($E$378&lt;&gt;0,I390/$E$378,"")</f>
        <v>0</v>
      </c>
      <c r="L390" s="35">
        <f>IF($F$378&lt;&gt;0,I390/$F$378*100/'Input'!$F$58,"")</f>
        <v>0</v>
      </c>
      <c r="M390" s="10"/>
    </row>
    <row r="391" spans="1:13">
      <c r="A391" s="11" t="s">
        <v>1599</v>
      </c>
      <c r="B391" s="7">
        <f>'Standing'!$K$84</f>
        <v>0</v>
      </c>
      <c r="C391" s="7">
        <f>'Standing'!$K$105</f>
        <v>0</v>
      </c>
      <c r="D391" s="7">
        <f>'Standing'!$K$117</f>
        <v>0</v>
      </c>
      <c r="E391" s="9"/>
      <c r="F391" s="37">
        <f>'Standing'!$K$36</f>
        <v>0</v>
      </c>
      <c r="G391" s="7">
        <f>'Reactive'!$K$23</f>
        <v>0</v>
      </c>
      <c r="H391" s="6">
        <f>IF(H$378&lt;&gt;0,(($B391*B$378+$C391*C$378+$D391*D$378+$G391*G$378))/H$378,0)</f>
        <v>0</v>
      </c>
      <c r="I391" s="17">
        <f>0.01*'Input'!$F$58*(E391*$E$378+F391*$F$378)+10*(B391*$B$378+C391*$C$378+D391*$D$378+G391*$G$378)</f>
        <v>0</v>
      </c>
      <c r="J391" s="6">
        <f>IF($H$378&lt;&gt;0,0.1*I391/$H$378,"")</f>
        <v>0</v>
      </c>
      <c r="K391" s="35">
        <f>IF($E$378&lt;&gt;0,I391/$E$378,"")</f>
        <v>0</v>
      </c>
      <c r="L391" s="35">
        <f>IF($F$378&lt;&gt;0,I391/$F$378*100/'Input'!$F$58,"")</f>
        <v>0</v>
      </c>
      <c r="M391" s="10"/>
    </row>
    <row r="392" spans="1:13">
      <c r="A392" s="11" t="s">
        <v>1600</v>
      </c>
      <c r="B392" s="7">
        <f>'Standing'!$L$84</f>
        <v>0</v>
      </c>
      <c r="C392" s="7">
        <f>'Standing'!$L$105</f>
        <v>0</v>
      </c>
      <c r="D392" s="7">
        <f>'Standing'!$L$117</f>
        <v>0</v>
      </c>
      <c r="E392" s="9"/>
      <c r="F392" s="37">
        <f>'Standing'!$L$36</f>
        <v>0</v>
      </c>
      <c r="G392" s="7">
        <f>'Reactive'!$L$23</f>
        <v>0</v>
      </c>
      <c r="H392" s="6">
        <f>IF(H$378&lt;&gt;0,(($B392*B$378+$C392*C$378+$D392*D$378+$G392*G$378))/H$378,0)</f>
        <v>0</v>
      </c>
      <c r="I392" s="17">
        <f>0.01*'Input'!$F$58*(E392*$E$378+F392*$F$378)+10*(B392*$B$378+C392*$C$378+D392*$D$378+G392*$G$378)</f>
        <v>0</v>
      </c>
      <c r="J392" s="6">
        <f>IF($H$378&lt;&gt;0,0.1*I392/$H$378,"")</f>
        <v>0</v>
      </c>
      <c r="K392" s="35">
        <f>IF($E$378&lt;&gt;0,I392/$E$378,"")</f>
        <v>0</v>
      </c>
      <c r="L392" s="35">
        <f>IF($F$378&lt;&gt;0,I392/$F$378*100/'Input'!$F$58,"")</f>
        <v>0</v>
      </c>
      <c r="M392" s="10"/>
    </row>
    <row r="393" spans="1:13">
      <c r="A393" s="11" t="s">
        <v>1601</v>
      </c>
      <c r="B393" s="7">
        <f>'Standing'!$M$84</f>
        <v>0</v>
      </c>
      <c r="C393" s="7">
        <f>'Standing'!$M$105</f>
        <v>0</v>
      </c>
      <c r="D393" s="7">
        <f>'Standing'!$M$117</f>
        <v>0</v>
      </c>
      <c r="E393" s="9"/>
      <c r="F393" s="37">
        <f>'Standing'!$M$36</f>
        <v>0</v>
      </c>
      <c r="G393" s="7">
        <f>'Reactive'!$M$23</f>
        <v>0</v>
      </c>
      <c r="H393" s="6">
        <f>IF(H$378&lt;&gt;0,(($B393*B$378+$C393*C$378+$D393*D$378+$G393*G$378))/H$378,0)</f>
        <v>0</v>
      </c>
      <c r="I393" s="17">
        <f>0.01*'Input'!$F$58*(E393*$E$378+F393*$F$378)+10*(B393*$B$378+C393*$C$378+D393*$D$378+G393*$G$378)</f>
        <v>0</v>
      </c>
      <c r="J393" s="6">
        <f>IF($H$378&lt;&gt;0,0.1*I393/$H$378,"")</f>
        <v>0</v>
      </c>
      <c r="K393" s="35">
        <f>IF($E$378&lt;&gt;0,I393/$E$378,"")</f>
        <v>0</v>
      </c>
      <c r="L393" s="35">
        <f>IF($F$378&lt;&gt;0,I393/$F$378*100/'Input'!$F$58,"")</f>
        <v>0</v>
      </c>
      <c r="M393" s="10"/>
    </row>
    <row r="394" spans="1:13">
      <c r="A394" s="11" t="s">
        <v>1602</v>
      </c>
      <c r="B394" s="7">
        <f>'Standing'!$N$84</f>
        <v>0</v>
      </c>
      <c r="C394" s="7">
        <f>'Standing'!$N$105</f>
        <v>0</v>
      </c>
      <c r="D394" s="7">
        <f>'Standing'!$N$117</f>
        <v>0</v>
      </c>
      <c r="E394" s="9"/>
      <c r="F394" s="37">
        <f>'Standing'!$N$36</f>
        <v>0</v>
      </c>
      <c r="G394" s="7">
        <f>'Reactive'!$N$23</f>
        <v>0</v>
      </c>
      <c r="H394" s="6">
        <f>IF(H$378&lt;&gt;0,(($B394*B$378+$C394*C$378+$D394*D$378+$G394*G$378))/H$378,0)</f>
        <v>0</v>
      </c>
      <c r="I394" s="17">
        <f>0.01*'Input'!$F$58*(E394*$E$378+F394*$F$378)+10*(B394*$B$378+C394*$C$378+D394*$D$378+G394*$G$378)</f>
        <v>0</v>
      </c>
      <c r="J394" s="6">
        <f>IF($H$378&lt;&gt;0,0.1*I394/$H$378,"")</f>
        <v>0</v>
      </c>
      <c r="K394" s="35">
        <f>IF($E$378&lt;&gt;0,I394/$E$378,"")</f>
        <v>0</v>
      </c>
      <c r="L394" s="35">
        <f>IF($F$378&lt;&gt;0,I394/$F$378*100/'Input'!$F$58,"")</f>
        <v>0</v>
      </c>
      <c r="M394" s="10"/>
    </row>
    <row r="395" spans="1:13">
      <c r="A395" s="11" t="s">
        <v>1603</v>
      </c>
      <c r="B395" s="7">
        <f>'Standing'!$O$84</f>
        <v>0</v>
      </c>
      <c r="C395" s="7">
        <f>'Standing'!$O$105</f>
        <v>0</v>
      </c>
      <c r="D395" s="7">
        <f>'Standing'!$O$117</f>
        <v>0</v>
      </c>
      <c r="E395" s="9"/>
      <c r="F395" s="37">
        <f>'Standing'!$O$36</f>
        <v>0</v>
      </c>
      <c r="G395" s="7">
        <f>'Reactive'!$O$23</f>
        <v>0</v>
      </c>
      <c r="H395" s="6">
        <f>IF(H$378&lt;&gt;0,(($B395*B$378+$C395*C$378+$D395*D$378+$G395*G$378))/H$378,0)</f>
        <v>0</v>
      </c>
      <c r="I395" s="17">
        <f>0.01*'Input'!$F$58*(E395*$E$378+F395*$F$378)+10*(B395*$B$378+C395*$C$378+D395*$D$378+G395*$G$378)</f>
        <v>0</v>
      </c>
      <c r="J395" s="6">
        <f>IF($H$378&lt;&gt;0,0.1*I395/$H$378,"")</f>
        <v>0</v>
      </c>
      <c r="K395" s="35">
        <f>IF($E$378&lt;&gt;0,I395/$E$378,"")</f>
        <v>0</v>
      </c>
      <c r="L395" s="35">
        <f>IF($F$378&lt;&gt;0,I395/$F$378*100/'Input'!$F$58,"")</f>
        <v>0</v>
      </c>
      <c r="M395" s="10"/>
    </row>
    <row r="396" spans="1:13">
      <c r="A396" s="11" t="s">
        <v>1604</v>
      </c>
      <c r="B396" s="7">
        <f>'Standing'!$P$84</f>
        <v>0</v>
      </c>
      <c r="C396" s="7">
        <f>'Standing'!$P$105</f>
        <v>0</v>
      </c>
      <c r="D396" s="7">
        <f>'Standing'!$P$117</f>
        <v>0</v>
      </c>
      <c r="E396" s="9"/>
      <c r="F396" s="37">
        <f>'Standing'!$P$36</f>
        <v>0</v>
      </c>
      <c r="G396" s="7">
        <f>'Reactive'!$P$23</f>
        <v>0</v>
      </c>
      <c r="H396" s="6">
        <f>IF(H$378&lt;&gt;0,(($B396*B$378+$C396*C$378+$D396*D$378+$G396*G$378))/H$378,0)</f>
        <v>0</v>
      </c>
      <c r="I396" s="17">
        <f>0.01*'Input'!$F$58*(E396*$E$378+F396*$F$378)+10*(B396*$B$378+C396*$C$378+D396*$D$378+G396*$G$378)</f>
        <v>0</v>
      </c>
      <c r="J396" s="6">
        <f>IF($H$378&lt;&gt;0,0.1*I396/$H$378,"")</f>
        <v>0</v>
      </c>
      <c r="K396" s="35">
        <f>IF($E$378&lt;&gt;0,I396/$E$378,"")</f>
        <v>0</v>
      </c>
      <c r="L396" s="35">
        <f>IF($F$378&lt;&gt;0,I396/$F$378*100/'Input'!$F$58,"")</f>
        <v>0</v>
      </c>
      <c r="M396" s="10"/>
    </row>
    <row r="397" spans="1:13">
      <c r="A397" s="11" t="s">
        <v>1605</v>
      </c>
      <c r="B397" s="7">
        <f>'Standing'!$Q$84</f>
        <v>0</v>
      </c>
      <c r="C397" s="7">
        <f>'Standing'!$Q$105</f>
        <v>0</v>
      </c>
      <c r="D397" s="7">
        <f>'Standing'!$Q$117</f>
        <v>0</v>
      </c>
      <c r="E397" s="9"/>
      <c r="F397" s="37">
        <f>'Standing'!$Q$36</f>
        <v>0</v>
      </c>
      <c r="G397" s="7">
        <f>'Reactive'!$Q$23</f>
        <v>0</v>
      </c>
      <c r="H397" s="6">
        <f>IF(H$378&lt;&gt;0,(($B397*B$378+$C397*C$378+$D397*D$378+$G397*G$378))/H$378,0)</f>
        <v>0</v>
      </c>
      <c r="I397" s="17">
        <f>0.01*'Input'!$F$58*(E397*$E$378+F397*$F$378)+10*(B397*$B$378+C397*$C$378+D397*$D$378+G397*$G$378)</f>
        <v>0</v>
      </c>
      <c r="J397" s="6">
        <f>IF($H$378&lt;&gt;0,0.1*I397/$H$378,"")</f>
        <v>0</v>
      </c>
      <c r="K397" s="35">
        <f>IF($E$378&lt;&gt;0,I397/$E$378,"")</f>
        <v>0</v>
      </c>
      <c r="L397" s="35">
        <f>IF($F$378&lt;&gt;0,I397/$F$378*100/'Input'!$F$58,"")</f>
        <v>0</v>
      </c>
      <c r="M397" s="10"/>
    </row>
    <row r="398" spans="1:13">
      <c r="A398" s="11" t="s">
        <v>1606</v>
      </c>
      <c r="B398" s="7">
        <f>'Standing'!$R$84</f>
        <v>0</v>
      </c>
      <c r="C398" s="7">
        <f>'Standing'!$R$105</f>
        <v>0</v>
      </c>
      <c r="D398" s="7">
        <f>'Standing'!$R$117</f>
        <v>0</v>
      </c>
      <c r="E398" s="9"/>
      <c r="F398" s="37">
        <f>'Standing'!$R$36</f>
        <v>0</v>
      </c>
      <c r="G398" s="7">
        <f>'Reactive'!$R$23</f>
        <v>0</v>
      </c>
      <c r="H398" s="6">
        <f>IF(H$378&lt;&gt;0,(($B398*B$378+$C398*C$378+$D398*D$378+$G398*G$378))/H$378,0)</f>
        <v>0</v>
      </c>
      <c r="I398" s="17">
        <f>0.01*'Input'!$F$58*(E398*$E$378+F398*$F$378)+10*(B398*$B$378+C398*$C$378+D398*$D$378+G398*$G$378)</f>
        <v>0</v>
      </c>
      <c r="J398" s="6">
        <f>IF($H$378&lt;&gt;0,0.1*I398/$H$378,"")</f>
        <v>0</v>
      </c>
      <c r="K398" s="35">
        <f>IF($E$378&lt;&gt;0,I398/$E$378,"")</f>
        <v>0</v>
      </c>
      <c r="L398" s="35">
        <f>IF($F$378&lt;&gt;0,I398/$F$378*100/'Input'!$F$58,"")</f>
        <v>0</v>
      </c>
      <c r="M398" s="10"/>
    </row>
    <row r="399" spans="1:13">
      <c r="A399" s="11" t="s">
        <v>1607</v>
      </c>
      <c r="B399" s="7">
        <f>'Standing'!$S$84</f>
        <v>0</v>
      </c>
      <c r="C399" s="7">
        <f>'Standing'!$S$105</f>
        <v>0</v>
      </c>
      <c r="D399" s="7">
        <f>'Standing'!$S$117</f>
        <v>0</v>
      </c>
      <c r="E399" s="9"/>
      <c r="F399" s="37">
        <f>'Standing'!$S$36</f>
        <v>0</v>
      </c>
      <c r="G399" s="7">
        <f>'Reactive'!$S$23</f>
        <v>0</v>
      </c>
      <c r="H399" s="6">
        <f>IF(H$378&lt;&gt;0,(($B399*B$378+$C399*C$378+$D399*D$378+$G399*G$378))/H$378,0)</f>
        <v>0</v>
      </c>
      <c r="I399" s="17">
        <f>0.01*'Input'!$F$58*(E399*$E$378+F399*$F$378)+10*(B399*$B$378+C399*$C$378+D399*$D$378+G399*$G$378)</f>
        <v>0</v>
      </c>
      <c r="J399" s="6">
        <f>IF($H$378&lt;&gt;0,0.1*I399/$H$378,"")</f>
        <v>0</v>
      </c>
      <c r="K399" s="35">
        <f>IF($E$378&lt;&gt;0,I399/$E$378,"")</f>
        <v>0</v>
      </c>
      <c r="L399" s="35">
        <f>IF($F$378&lt;&gt;0,I399/$F$378*100/'Input'!$F$58,"")</f>
        <v>0</v>
      </c>
      <c r="M399" s="10"/>
    </row>
    <row r="400" spans="1:13">
      <c r="A400" s="11" t="s">
        <v>1608</v>
      </c>
      <c r="B400" s="9"/>
      <c r="C400" s="9"/>
      <c r="D400" s="9"/>
      <c r="E400" s="37">
        <f>'Otex'!$B$132</f>
        <v>0</v>
      </c>
      <c r="F400" s="9"/>
      <c r="G400" s="9"/>
      <c r="H400" s="6">
        <f>IF(H$378&lt;&gt;0,(($B400*B$378+$C400*C$378+$D400*D$378+$G400*G$378))/H$378,0)</f>
        <v>0</v>
      </c>
      <c r="I400" s="17">
        <f>0.01*'Input'!$F$58*(E400*$E$378+F400*$F$378)+10*(B400*$B$378+C400*$C$378+D400*$D$378+G400*$G$378)</f>
        <v>0</v>
      </c>
      <c r="J400" s="6">
        <f>IF($H$378&lt;&gt;0,0.1*I400/$H$378,"")</f>
        <v>0</v>
      </c>
      <c r="K400" s="35">
        <f>IF($E$378&lt;&gt;0,I400/$E$378,"")</f>
        <v>0</v>
      </c>
      <c r="L400" s="35">
        <f>IF($F$378&lt;&gt;0,I400/$F$378*100/'Input'!$F$58,"")</f>
        <v>0</v>
      </c>
      <c r="M400" s="10"/>
    </row>
    <row r="401" spans="1:13">
      <c r="A401" s="11" t="s">
        <v>1609</v>
      </c>
      <c r="B401" s="9"/>
      <c r="C401" s="9"/>
      <c r="D401" s="9"/>
      <c r="E401" s="37">
        <f>'Otex'!$C$132</f>
        <v>0</v>
      </c>
      <c r="F401" s="9"/>
      <c r="G401" s="9"/>
      <c r="H401" s="6">
        <f>IF(H$378&lt;&gt;0,(($B401*B$378+$C401*C$378+$D401*D$378+$G401*G$378))/H$378,0)</f>
        <v>0</v>
      </c>
      <c r="I401" s="17">
        <f>0.01*'Input'!$F$58*(E401*$E$378+F401*$F$378)+10*(B401*$B$378+C401*$C$378+D401*$D$378+G401*$G$378)</f>
        <v>0</v>
      </c>
      <c r="J401" s="6">
        <f>IF($H$378&lt;&gt;0,0.1*I401/$H$378,"")</f>
        <v>0</v>
      </c>
      <c r="K401" s="35">
        <f>IF($E$378&lt;&gt;0,I401/$E$378,"")</f>
        <v>0</v>
      </c>
      <c r="L401" s="35">
        <f>IF($F$378&lt;&gt;0,I401/$F$378*100/'Input'!$F$58,"")</f>
        <v>0</v>
      </c>
      <c r="M401" s="10"/>
    </row>
    <row r="402" spans="1:13">
      <c r="A402" s="11" t="s">
        <v>1610</v>
      </c>
      <c r="B402" s="7">
        <f>'Adder'!$B$753</f>
        <v>0</v>
      </c>
      <c r="C402" s="7">
        <f>'Adder'!$C$753</f>
        <v>0</v>
      </c>
      <c r="D402" s="7">
        <f>'Adder'!$D$753</f>
        <v>0</v>
      </c>
      <c r="E402" s="37">
        <f>'Adder'!$E$753</f>
        <v>0</v>
      </c>
      <c r="F402" s="37">
        <f>'Adder'!$F$753</f>
        <v>0</v>
      </c>
      <c r="G402" s="7">
        <f>'Adder'!$G$753</f>
        <v>0</v>
      </c>
      <c r="H402" s="6">
        <f>IF(H$378&lt;&gt;0,(($B402*B$378+$C402*C$378+$D402*D$378+$G402*G$378))/H$378,0)</f>
        <v>0</v>
      </c>
      <c r="I402" s="17">
        <f>0.01*'Input'!$F$58*(E402*$E$378+F402*$F$378)+10*(B402*$B$378+C402*$C$378+D402*$D$378+G402*$G$378)</f>
        <v>0</v>
      </c>
      <c r="J402" s="6">
        <f>IF($H$378&lt;&gt;0,0.1*I402/$H$378,"")</f>
        <v>0</v>
      </c>
      <c r="K402" s="35">
        <f>IF($E$378&lt;&gt;0,I402/$E$378,"")</f>
        <v>0</v>
      </c>
      <c r="L402" s="35">
        <f>IF($F$378&lt;&gt;0,I402/$F$378*100/'Input'!$F$58,"")</f>
        <v>0</v>
      </c>
      <c r="M402" s="10"/>
    </row>
    <row r="403" spans="1:13">
      <c r="A403" s="11" t="s">
        <v>1611</v>
      </c>
      <c r="B403" s="7">
        <f>'Adjust'!$B$81</f>
        <v>0</v>
      </c>
      <c r="C403" s="7">
        <f>'Adjust'!$C$81</f>
        <v>0</v>
      </c>
      <c r="D403" s="7">
        <f>'Adjust'!$D$81</f>
        <v>0</v>
      </c>
      <c r="E403" s="37">
        <f>'Adjust'!$E$81</f>
        <v>0</v>
      </c>
      <c r="F403" s="37">
        <f>'Adjust'!$F$81</f>
        <v>0</v>
      </c>
      <c r="G403" s="7">
        <f>'Adjust'!$G$81</f>
        <v>0</v>
      </c>
      <c r="H403" s="6">
        <f>IF(H$378&lt;&gt;0,(($B403*B$378+$C403*C$378+$D403*D$378+$G403*G$378))/H$378,0)</f>
        <v>0</v>
      </c>
      <c r="I403" s="17">
        <f>0.01*'Input'!$F$58*(E403*$E$378+F403*$F$378)+10*(B403*$B$378+C403*$C$378+D403*$D$378+G403*$G$378)</f>
        <v>0</v>
      </c>
      <c r="J403" s="6">
        <f>IF($H$378&lt;&gt;0,0.1*I403/$H$378,"")</f>
        <v>0</v>
      </c>
      <c r="K403" s="35">
        <f>IF($E$378&lt;&gt;0,I403/$E$378,"")</f>
        <v>0</v>
      </c>
      <c r="L403" s="35">
        <f>IF($F$378&lt;&gt;0,I403/$F$378*100/'Input'!$F$58,"")</f>
        <v>0</v>
      </c>
      <c r="M403" s="10"/>
    </row>
    <row r="405" spans="1:13">
      <c r="A405" s="11" t="s">
        <v>1612</v>
      </c>
      <c r="B405" s="6">
        <f>SUM($B$381:$B$403)</f>
        <v>0</v>
      </c>
      <c r="C405" s="6">
        <f>SUM($C$381:$C$403)</f>
        <v>0</v>
      </c>
      <c r="D405" s="6">
        <f>SUM($D$381:$D$403)</f>
        <v>0</v>
      </c>
      <c r="E405" s="35">
        <f>SUM($E$381:$E$403)</f>
        <v>0</v>
      </c>
      <c r="F405" s="35">
        <f>SUM($F$381:$F$403)</f>
        <v>0</v>
      </c>
      <c r="G405" s="6">
        <f>SUM($G$381:$G$403)</f>
        <v>0</v>
      </c>
      <c r="H405" s="6">
        <f>SUM(H$381:H$403)</f>
        <v>0</v>
      </c>
      <c r="I405" s="17">
        <f>SUM($I$381:$I$403)</f>
        <v>0</v>
      </c>
      <c r="J405" s="6">
        <f>SUM($J$381:$J$403)</f>
        <v>0</v>
      </c>
      <c r="K405" s="35">
        <f>SUM($K$381:$K$403)</f>
        <v>0</v>
      </c>
      <c r="L405" s="35">
        <f>SUM($L$381:$L$403)</f>
        <v>0</v>
      </c>
    </row>
    <row r="407" spans="1:13">
      <c r="A407" s="1" t="s">
        <v>212</v>
      </c>
    </row>
    <row r="409" spans="1:13">
      <c r="B409" s="3" t="s">
        <v>221</v>
      </c>
      <c r="C409" s="3" t="s">
        <v>1593</v>
      </c>
    </row>
    <row r="410" spans="1:13">
      <c r="A410" s="11" t="s">
        <v>212</v>
      </c>
      <c r="B410" s="33">
        <f>'Loads'!B$294</f>
        <v>0</v>
      </c>
      <c r="C410" s="33">
        <f>'Multi'!B$121</f>
        <v>0</v>
      </c>
      <c r="D410" s="10"/>
    </row>
    <row r="412" spans="1:13">
      <c r="B412" s="3" t="s">
        <v>1416</v>
      </c>
      <c r="C412" s="3" t="s">
        <v>1595</v>
      </c>
      <c r="D412" s="3" t="s">
        <v>1565</v>
      </c>
    </row>
    <row r="413" spans="1:13">
      <c r="A413" s="11" t="s">
        <v>449</v>
      </c>
      <c r="B413" s="7">
        <f>'Yard'!$C$72</f>
        <v>0</v>
      </c>
      <c r="C413" s="17">
        <f>0+10*(B413*$B$410)</f>
        <v>0</v>
      </c>
      <c r="D413" s="6">
        <f>IF($C$410&lt;&gt;0,0.1*C413/$C$410,"")</f>
        <v>0</v>
      </c>
      <c r="E413" s="10"/>
    </row>
    <row r="414" spans="1:13">
      <c r="A414" s="11" t="s">
        <v>450</v>
      </c>
      <c r="B414" s="7">
        <f>'Yard'!$D$72</f>
        <v>0</v>
      </c>
      <c r="C414" s="17">
        <f>0+10*(B414*$B$410)</f>
        <v>0</v>
      </c>
      <c r="D414" s="6">
        <f>IF($C$410&lt;&gt;0,0.1*C414/$C$410,"")</f>
        <v>0</v>
      </c>
      <c r="E414" s="10"/>
    </row>
    <row r="415" spans="1:13">
      <c r="A415" s="11" t="s">
        <v>451</v>
      </c>
      <c r="B415" s="7">
        <f>'Yard'!$E$72</f>
        <v>0</v>
      </c>
      <c r="C415" s="17">
        <f>0+10*(B415*$B$410)</f>
        <v>0</v>
      </c>
      <c r="D415" s="6">
        <f>IF($C$410&lt;&gt;0,0.1*C415/$C$410,"")</f>
        <v>0</v>
      </c>
      <c r="E415" s="10"/>
    </row>
    <row r="416" spans="1:13">
      <c r="A416" s="11" t="s">
        <v>452</v>
      </c>
      <c r="B416" s="7">
        <f>'Yard'!$F$72</f>
        <v>0</v>
      </c>
      <c r="C416" s="17">
        <f>0+10*(B416*$B$410)</f>
        <v>0</v>
      </c>
      <c r="D416" s="6">
        <f>IF($C$410&lt;&gt;0,0.1*C416/$C$410,"")</f>
        <v>0</v>
      </c>
      <c r="E416" s="10"/>
    </row>
    <row r="417" spans="1:5">
      <c r="A417" s="11" t="s">
        <v>453</v>
      </c>
      <c r="B417" s="7">
        <f>'Yard'!$G$72</f>
        <v>0</v>
      </c>
      <c r="C417" s="17">
        <f>0+10*(B417*$B$410)</f>
        <v>0</v>
      </c>
      <c r="D417" s="6">
        <f>IF($C$410&lt;&gt;0,0.1*C417/$C$410,"")</f>
        <v>0</v>
      </c>
      <c r="E417" s="10"/>
    </row>
    <row r="418" spans="1:5">
      <c r="A418" s="11" t="s">
        <v>454</v>
      </c>
      <c r="B418" s="7">
        <f>'Yard'!$H$72</f>
        <v>0</v>
      </c>
      <c r="C418" s="17">
        <f>0+10*(B418*$B$410)</f>
        <v>0</v>
      </c>
      <c r="D418" s="6">
        <f>IF($C$410&lt;&gt;0,0.1*C418/$C$410,"")</f>
        <v>0</v>
      </c>
      <c r="E418" s="10"/>
    </row>
    <row r="419" spans="1:5">
      <c r="A419" s="11" t="s">
        <v>455</v>
      </c>
      <c r="B419" s="7">
        <f>'Yard'!$I$72</f>
        <v>0</v>
      </c>
      <c r="C419" s="17">
        <f>0+10*(B419*$B$410)</f>
        <v>0</v>
      </c>
      <c r="D419" s="6">
        <f>IF($C$410&lt;&gt;0,0.1*C419/$C$410,"")</f>
        <v>0</v>
      </c>
      <c r="E419" s="10"/>
    </row>
    <row r="420" spans="1:5">
      <c r="A420" s="11" t="s">
        <v>456</v>
      </c>
      <c r="B420" s="7">
        <f>'Yard'!$J$72</f>
        <v>0</v>
      </c>
      <c r="C420" s="17">
        <f>0+10*(B420*$B$410)</f>
        <v>0</v>
      </c>
      <c r="D420" s="6">
        <f>IF($C$410&lt;&gt;0,0.1*C420/$C$410,"")</f>
        <v>0</v>
      </c>
      <c r="E420" s="10"/>
    </row>
    <row r="421" spans="1:5">
      <c r="A421" s="11" t="s">
        <v>1597</v>
      </c>
      <c r="B421" s="9"/>
      <c r="C421" s="17">
        <f>0+10*(B421*$B$410)</f>
        <v>0</v>
      </c>
      <c r="D421" s="6">
        <f>IF($C$410&lt;&gt;0,0.1*C421/$C$410,"")</f>
        <v>0</v>
      </c>
      <c r="E421" s="10"/>
    </row>
    <row r="422" spans="1:5">
      <c r="A422" s="11" t="s">
        <v>1599</v>
      </c>
      <c r="B422" s="7">
        <f>'Yard'!$K$72</f>
        <v>0</v>
      </c>
      <c r="C422" s="17">
        <f>0+10*(B422*$B$410)</f>
        <v>0</v>
      </c>
      <c r="D422" s="6">
        <f>IF($C$410&lt;&gt;0,0.1*C422/$C$410,"")</f>
        <v>0</v>
      </c>
      <c r="E422" s="10"/>
    </row>
    <row r="423" spans="1:5">
      <c r="A423" s="11" t="s">
        <v>1600</v>
      </c>
      <c r="B423" s="7">
        <f>'Yard'!$L$72</f>
        <v>0</v>
      </c>
      <c r="C423" s="17">
        <f>0+10*(B423*$B$410)</f>
        <v>0</v>
      </c>
      <c r="D423" s="6">
        <f>IF($C$410&lt;&gt;0,0.1*C423/$C$410,"")</f>
        <v>0</v>
      </c>
      <c r="E423" s="10"/>
    </row>
    <row r="424" spans="1:5">
      <c r="A424" s="11" t="s">
        <v>1601</v>
      </c>
      <c r="B424" s="7">
        <f>'Yard'!$M$72</f>
        <v>0</v>
      </c>
      <c r="C424" s="17">
        <f>0+10*(B424*$B$410)</f>
        <v>0</v>
      </c>
      <c r="D424" s="6">
        <f>IF($C$410&lt;&gt;0,0.1*C424/$C$410,"")</f>
        <v>0</v>
      </c>
      <c r="E424" s="10"/>
    </row>
    <row r="425" spans="1:5">
      <c r="A425" s="11" t="s">
        <v>1602</v>
      </c>
      <c r="B425" s="7">
        <f>'Yard'!$N$72</f>
        <v>0</v>
      </c>
      <c r="C425" s="17">
        <f>0+10*(B425*$B$410)</f>
        <v>0</v>
      </c>
      <c r="D425" s="6">
        <f>IF($C$410&lt;&gt;0,0.1*C425/$C$410,"")</f>
        <v>0</v>
      </c>
      <c r="E425" s="10"/>
    </row>
    <row r="426" spans="1:5">
      <c r="A426" s="11" t="s">
        <v>1603</v>
      </c>
      <c r="B426" s="7">
        <f>'Yard'!$O$72</f>
        <v>0</v>
      </c>
      <c r="C426" s="17">
        <f>0+10*(B426*$B$410)</f>
        <v>0</v>
      </c>
      <c r="D426" s="6">
        <f>IF($C$410&lt;&gt;0,0.1*C426/$C$410,"")</f>
        <v>0</v>
      </c>
      <c r="E426" s="10"/>
    </row>
    <row r="427" spans="1:5">
      <c r="A427" s="11" t="s">
        <v>1604</v>
      </c>
      <c r="B427" s="7">
        <f>'Yard'!$P$72</f>
        <v>0</v>
      </c>
      <c r="C427" s="17">
        <f>0+10*(B427*$B$410)</f>
        <v>0</v>
      </c>
      <c r="D427" s="6">
        <f>IF($C$410&lt;&gt;0,0.1*C427/$C$410,"")</f>
        <v>0</v>
      </c>
      <c r="E427" s="10"/>
    </row>
    <row r="428" spans="1:5">
      <c r="A428" s="11" t="s">
        <v>1605</v>
      </c>
      <c r="B428" s="7">
        <f>'Yard'!$Q$72</f>
        <v>0</v>
      </c>
      <c r="C428" s="17">
        <f>0+10*(B428*$B$410)</f>
        <v>0</v>
      </c>
      <c r="D428" s="6">
        <f>IF($C$410&lt;&gt;0,0.1*C428/$C$410,"")</f>
        <v>0</v>
      </c>
      <c r="E428" s="10"/>
    </row>
    <row r="429" spans="1:5">
      <c r="A429" s="11" t="s">
        <v>1606</v>
      </c>
      <c r="B429" s="7">
        <f>'Yard'!$R$72</f>
        <v>0</v>
      </c>
      <c r="C429" s="17">
        <f>0+10*(B429*$B$410)</f>
        <v>0</v>
      </c>
      <c r="D429" s="6">
        <f>IF($C$410&lt;&gt;0,0.1*C429/$C$410,"")</f>
        <v>0</v>
      </c>
      <c r="E429" s="10"/>
    </row>
    <row r="430" spans="1:5">
      <c r="A430" s="11" t="s">
        <v>1607</v>
      </c>
      <c r="B430" s="7">
        <f>'Yard'!$S$72</f>
        <v>0</v>
      </c>
      <c r="C430" s="17">
        <f>0+10*(B430*$B$410)</f>
        <v>0</v>
      </c>
      <c r="D430" s="6">
        <f>IF($C$410&lt;&gt;0,0.1*C430/$C$410,"")</f>
        <v>0</v>
      </c>
      <c r="E430" s="10"/>
    </row>
    <row r="431" spans="1:5">
      <c r="A431" s="11" t="s">
        <v>1608</v>
      </c>
      <c r="B431" s="7">
        <f>'Otex'!$B$154</f>
        <v>0</v>
      </c>
      <c r="C431" s="17">
        <f>0+10*(B431*$B$410)</f>
        <v>0</v>
      </c>
      <c r="D431" s="6">
        <f>IF($C$410&lt;&gt;0,0.1*C431/$C$410,"")</f>
        <v>0</v>
      </c>
      <c r="E431" s="10"/>
    </row>
    <row r="432" spans="1:5">
      <c r="A432" s="11" t="s">
        <v>1610</v>
      </c>
      <c r="B432" s="7">
        <f>'Adder'!$B$754</f>
        <v>0</v>
      </c>
      <c r="C432" s="17">
        <f>0+10*(B432*$B$410)</f>
        <v>0</v>
      </c>
      <c r="D432" s="6">
        <f>IF($C$410&lt;&gt;0,0.1*C432/$C$410,"")</f>
        <v>0</v>
      </c>
      <c r="E432" s="10"/>
    </row>
    <row r="433" spans="1:5">
      <c r="A433" s="11" t="s">
        <v>1611</v>
      </c>
      <c r="B433" s="7">
        <f>'Adjust'!$B$82</f>
        <v>0</v>
      </c>
      <c r="C433" s="17">
        <f>0+10*(B433*$B$410)</f>
        <v>0</v>
      </c>
      <c r="D433" s="6">
        <f>IF($C$410&lt;&gt;0,0.1*C433/$C$410,"")</f>
        <v>0</v>
      </c>
      <c r="E433" s="10"/>
    </row>
    <row r="435" spans="1:5">
      <c r="A435" s="11" t="s">
        <v>1612</v>
      </c>
      <c r="B435" s="6">
        <f>SUM($B$413:$B$433)</f>
        <v>0</v>
      </c>
      <c r="C435" s="17">
        <f>SUM($C$413:$C$433)</f>
        <v>0</v>
      </c>
      <c r="D435" s="6">
        <f>SUM($D$413:$D$433)</f>
        <v>0</v>
      </c>
    </row>
    <row r="437" spans="1:5">
      <c r="A437" s="1" t="s">
        <v>213</v>
      </c>
    </row>
    <row r="439" spans="1:5">
      <c r="B439" s="3" t="s">
        <v>221</v>
      </c>
      <c r="C439" s="3" t="s">
        <v>1593</v>
      </c>
    </row>
    <row r="440" spans="1:5">
      <c r="A440" s="11" t="s">
        <v>213</v>
      </c>
      <c r="B440" s="33">
        <f>'Loads'!B$295</f>
        <v>0</v>
      </c>
      <c r="C440" s="33">
        <f>'Multi'!B$122</f>
        <v>0</v>
      </c>
      <c r="D440" s="10"/>
    </row>
    <row r="442" spans="1:5">
      <c r="B442" s="3" t="s">
        <v>1416</v>
      </c>
      <c r="C442" s="3" t="s">
        <v>1595</v>
      </c>
      <c r="D442" s="3" t="s">
        <v>1565</v>
      </c>
    </row>
    <row r="443" spans="1:5">
      <c r="A443" s="11" t="s">
        <v>449</v>
      </c>
      <c r="B443" s="7">
        <f>'Yard'!$C$73</f>
        <v>0</v>
      </c>
      <c r="C443" s="17">
        <f>0+10*(B443*$B$440)</f>
        <v>0</v>
      </c>
      <c r="D443" s="6">
        <f>IF($C$440&lt;&gt;0,0.1*C443/$C$440,"")</f>
        <v>0</v>
      </c>
      <c r="E443" s="10"/>
    </row>
    <row r="444" spans="1:5">
      <c r="A444" s="11" t="s">
        <v>450</v>
      </c>
      <c r="B444" s="7">
        <f>'Yard'!$D$73</f>
        <v>0</v>
      </c>
      <c r="C444" s="17">
        <f>0+10*(B444*$B$440)</f>
        <v>0</v>
      </c>
      <c r="D444" s="6">
        <f>IF($C$440&lt;&gt;0,0.1*C444/$C$440,"")</f>
        <v>0</v>
      </c>
      <c r="E444" s="10"/>
    </row>
    <row r="445" spans="1:5">
      <c r="A445" s="11" t="s">
        <v>451</v>
      </c>
      <c r="B445" s="7">
        <f>'Yard'!$E$73</f>
        <v>0</v>
      </c>
      <c r="C445" s="17">
        <f>0+10*(B445*$B$440)</f>
        <v>0</v>
      </c>
      <c r="D445" s="6">
        <f>IF($C$440&lt;&gt;0,0.1*C445/$C$440,"")</f>
        <v>0</v>
      </c>
      <c r="E445" s="10"/>
    </row>
    <row r="446" spans="1:5">
      <c r="A446" s="11" t="s">
        <v>452</v>
      </c>
      <c r="B446" s="7">
        <f>'Yard'!$F$73</f>
        <v>0</v>
      </c>
      <c r="C446" s="17">
        <f>0+10*(B446*$B$440)</f>
        <v>0</v>
      </c>
      <c r="D446" s="6">
        <f>IF($C$440&lt;&gt;0,0.1*C446/$C$440,"")</f>
        <v>0</v>
      </c>
      <c r="E446" s="10"/>
    </row>
    <row r="447" spans="1:5">
      <c r="A447" s="11" t="s">
        <v>453</v>
      </c>
      <c r="B447" s="7">
        <f>'Yard'!$G$73</f>
        <v>0</v>
      </c>
      <c r="C447" s="17">
        <f>0+10*(B447*$B$440)</f>
        <v>0</v>
      </c>
      <c r="D447" s="6">
        <f>IF($C$440&lt;&gt;0,0.1*C447/$C$440,"")</f>
        <v>0</v>
      </c>
      <c r="E447" s="10"/>
    </row>
    <row r="448" spans="1:5">
      <c r="A448" s="11" t="s">
        <v>454</v>
      </c>
      <c r="B448" s="7">
        <f>'Yard'!$H$73</f>
        <v>0</v>
      </c>
      <c r="C448" s="17">
        <f>0+10*(B448*$B$440)</f>
        <v>0</v>
      </c>
      <c r="D448" s="6">
        <f>IF($C$440&lt;&gt;0,0.1*C448/$C$440,"")</f>
        <v>0</v>
      </c>
      <c r="E448" s="10"/>
    </row>
    <row r="449" spans="1:5">
      <c r="A449" s="11" t="s">
        <v>455</v>
      </c>
      <c r="B449" s="7">
        <f>'Yard'!$I$73</f>
        <v>0</v>
      </c>
      <c r="C449" s="17">
        <f>0+10*(B449*$B$440)</f>
        <v>0</v>
      </c>
      <c r="D449" s="6">
        <f>IF($C$440&lt;&gt;0,0.1*C449/$C$440,"")</f>
        <v>0</v>
      </c>
      <c r="E449" s="10"/>
    </row>
    <row r="450" spans="1:5">
      <c r="A450" s="11" t="s">
        <v>456</v>
      </c>
      <c r="B450" s="7">
        <f>'Yard'!$J$73</f>
        <v>0</v>
      </c>
      <c r="C450" s="17">
        <f>0+10*(B450*$B$440)</f>
        <v>0</v>
      </c>
      <c r="D450" s="6">
        <f>IF($C$440&lt;&gt;0,0.1*C450/$C$440,"")</f>
        <v>0</v>
      </c>
      <c r="E450" s="10"/>
    </row>
    <row r="451" spans="1:5">
      <c r="A451" s="11" t="s">
        <v>1597</v>
      </c>
      <c r="B451" s="9"/>
      <c r="C451" s="17">
        <f>0+10*(B451*$B$440)</f>
        <v>0</v>
      </c>
      <c r="D451" s="6">
        <f>IF($C$440&lt;&gt;0,0.1*C451/$C$440,"")</f>
        <v>0</v>
      </c>
      <c r="E451" s="10"/>
    </row>
    <row r="452" spans="1:5">
      <c r="A452" s="11" t="s">
        <v>1599</v>
      </c>
      <c r="B452" s="7">
        <f>'Yard'!$K$73</f>
        <v>0</v>
      </c>
      <c r="C452" s="17">
        <f>0+10*(B452*$B$440)</f>
        <v>0</v>
      </c>
      <c r="D452" s="6">
        <f>IF($C$440&lt;&gt;0,0.1*C452/$C$440,"")</f>
        <v>0</v>
      </c>
      <c r="E452" s="10"/>
    </row>
    <row r="453" spans="1:5">
      <c r="A453" s="11" t="s">
        <v>1600</v>
      </c>
      <c r="B453" s="7">
        <f>'Yard'!$L$73</f>
        <v>0</v>
      </c>
      <c r="C453" s="17">
        <f>0+10*(B453*$B$440)</f>
        <v>0</v>
      </c>
      <c r="D453" s="6">
        <f>IF($C$440&lt;&gt;0,0.1*C453/$C$440,"")</f>
        <v>0</v>
      </c>
      <c r="E453" s="10"/>
    </row>
    <row r="454" spans="1:5">
      <c r="A454" s="11" t="s">
        <v>1601</v>
      </c>
      <c r="B454" s="7">
        <f>'Yard'!$M$73</f>
        <v>0</v>
      </c>
      <c r="C454" s="17">
        <f>0+10*(B454*$B$440)</f>
        <v>0</v>
      </c>
      <c r="D454" s="6">
        <f>IF($C$440&lt;&gt;0,0.1*C454/$C$440,"")</f>
        <v>0</v>
      </c>
      <c r="E454" s="10"/>
    </row>
    <row r="455" spans="1:5">
      <c r="A455" s="11" t="s">
        <v>1602</v>
      </c>
      <c r="B455" s="7">
        <f>'Yard'!$N$73</f>
        <v>0</v>
      </c>
      <c r="C455" s="17">
        <f>0+10*(B455*$B$440)</f>
        <v>0</v>
      </c>
      <c r="D455" s="6">
        <f>IF($C$440&lt;&gt;0,0.1*C455/$C$440,"")</f>
        <v>0</v>
      </c>
      <c r="E455" s="10"/>
    </row>
    <row r="456" spans="1:5">
      <c r="A456" s="11" t="s">
        <v>1603</v>
      </c>
      <c r="B456" s="7">
        <f>'Yard'!$O$73</f>
        <v>0</v>
      </c>
      <c r="C456" s="17">
        <f>0+10*(B456*$B$440)</f>
        <v>0</v>
      </c>
      <c r="D456" s="6">
        <f>IF($C$440&lt;&gt;0,0.1*C456/$C$440,"")</f>
        <v>0</v>
      </c>
      <c r="E456" s="10"/>
    </row>
    <row r="457" spans="1:5">
      <c r="A457" s="11" t="s">
        <v>1604</v>
      </c>
      <c r="B457" s="7">
        <f>'Yard'!$P$73</f>
        <v>0</v>
      </c>
      <c r="C457" s="17">
        <f>0+10*(B457*$B$440)</f>
        <v>0</v>
      </c>
      <c r="D457" s="6">
        <f>IF($C$440&lt;&gt;0,0.1*C457/$C$440,"")</f>
        <v>0</v>
      </c>
      <c r="E457" s="10"/>
    </row>
    <row r="458" spans="1:5">
      <c r="A458" s="11" t="s">
        <v>1605</v>
      </c>
      <c r="B458" s="7">
        <f>'Yard'!$Q$73</f>
        <v>0</v>
      </c>
      <c r="C458" s="17">
        <f>0+10*(B458*$B$440)</f>
        <v>0</v>
      </c>
      <c r="D458" s="6">
        <f>IF($C$440&lt;&gt;0,0.1*C458/$C$440,"")</f>
        <v>0</v>
      </c>
      <c r="E458" s="10"/>
    </row>
    <row r="459" spans="1:5">
      <c r="A459" s="11" t="s">
        <v>1606</v>
      </c>
      <c r="B459" s="7">
        <f>'Yard'!$R$73</f>
        <v>0</v>
      </c>
      <c r="C459" s="17">
        <f>0+10*(B459*$B$440)</f>
        <v>0</v>
      </c>
      <c r="D459" s="6">
        <f>IF($C$440&lt;&gt;0,0.1*C459/$C$440,"")</f>
        <v>0</v>
      </c>
      <c r="E459" s="10"/>
    </row>
    <row r="460" spans="1:5">
      <c r="A460" s="11" t="s">
        <v>1607</v>
      </c>
      <c r="B460" s="7">
        <f>'Yard'!$S$73</f>
        <v>0</v>
      </c>
      <c r="C460" s="17">
        <f>0+10*(B460*$B$440)</f>
        <v>0</v>
      </c>
      <c r="D460" s="6">
        <f>IF($C$440&lt;&gt;0,0.1*C460/$C$440,"")</f>
        <v>0</v>
      </c>
      <c r="E460" s="10"/>
    </row>
    <row r="461" spans="1:5">
      <c r="A461" s="11" t="s">
        <v>1608</v>
      </c>
      <c r="B461" s="7">
        <f>'Otex'!$B$155</f>
        <v>0</v>
      </c>
      <c r="C461" s="17">
        <f>0+10*(B461*$B$440)</f>
        <v>0</v>
      </c>
      <c r="D461" s="6">
        <f>IF($C$440&lt;&gt;0,0.1*C461/$C$440,"")</f>
        <v>0</v>
      </c>
      <c r="E461" s="10"/>
    </row>
    <row r="462" spans="1:5">
      <c r="A462" s="11" t="s">
        <v>1610</v>
      </c>
      <c r="B462" s="7">
        <f>'Adder'!$B$755</f>
        <v>0</v>
      </c>
      <c r="C462" s="17">
        <f>0+10*(B462*$B$440)</f>
        <v>0</v>
      </c>
      <c r="D462" s="6">
        <f>IF($C$440&lt;&gt;0,0.1*C462/$C$440,"")</f>
        <v>0</v>
      </c>
      <c r="E462" s="10"/>
    </row>
    <row r="463" spans="1:5">
      <c r="A463" s="11" t="s">
        <v>1611</v>
      </c>
      <c r="B463" s="7">
        <f>'Adjust'!$B$83</f>
        <v>0</v>
      </c>
      <c r="C463" s="17">
        <f>0+10*(B463*$B$440)</f>
        <v>0</v>
      </c>
      <c r="D463" s="6">
        <f>IF($C$440&lt;&gt;0,0.1*C463/$C$440,"")</f>
        <v>0</v>
      </c>
      <c r="E463" s="10"/>
    </row>
    <row r="465" spans="1:5">
      <c r="A465" s="11" t="s">
        <v>1612</v>
      </c>
      <c r="B465" s="6">
        <f>SUM($B$443:$B$463)</f>
        <v>0</v>
      </c>
      <c r="C465" s="17">
        <f>SUM($C$443:$C$463)</f>
        <v>0</v>
      </c>
      <c r="D465" s="6">
        <f>SUM($D$443:$D$463)</f>
        <v>0</v>
      </c>
    </row>
    <row r="467" spans="1:5">
      <c r="A467" s="1" t="s">
        <v>214</v>
      </c>
    </row>
    <row r="469" spans="1:5">
      <c r="B469" s="3" t="s">
        <v>221</v>
      </c>
      <c r="C469" s="3" t="s">
        <v>1593</v>
      </c>
    </row>
    <row r="470" spans="1:5">
      <c r="A470" s="11" t="s">
        <v>214</v>
      </c>
      <c r="B470" s="33">
        <f>'Loads'!B$296</f>
        <v>0</v>
      </c>
      <c r="C470" s="33">
        <f>'Multi'!B$123</f>
        <v>0</v>
      </c>
      <c r="D470" s="10"/>
    </row>
    <row r="472" spans="1:5">
      <c r="B472" s="3" t="s">
        <v>1416</v>
      </c>
      <c r="C472" s="3" t="s">
        <v>1595</v>
      </c>
      <c r="D472" s="3" t="s">
        <v>1565</v>
      </c>
    </row>
    <row r="473" spans="1:5">
      <c r="A473" s="11" t="s">
        <v>449</v>
      </c>
      <c r="B473" s="7">
        <f>'Yard'!$C$74</f>
        <v>0</v>
      </c>
      <c r="C473" s="17">
        <f>0+10*(B473*$B$470)</f>
        <v>0</v>
      </c>
      <c r="D473" s="6">
        <f>IF($C$470&lt;&gt;0,0.1*C473/$C$470,"")</f>
        <v>0</v>
      </c>
      <c r="E473" s="10"/>
    </row>
    <row r="474" spans="1:5">
      <c r="A474" s="11" t="s">
        <v>450</v>
      </c>
      <c r="B474" s="7">
        <f>'Yard'!$D$74</f>
        <v>0</v>
      </c>
      <c r="C474" s="17">
        <f>0+10*(B474*$B$470)</f>
        <v>0</v>
      </c>
      <c r="D474" s="6">
        <f>IF($C$470&lt;&gt;0,0.1*C474/$C$470,"")</f>
        <v>0</v>
      </c>
      <c r="E474" s="10"/>
    </row>
    <row r="475" spans="1:5">
      <c r="A475" s="11" t="s">
        <v>451</v>
      </c>
      <c r="B475" s="7">
        <f>'Yard'!$E$74</f>
        <v>0</v>
      </c>
      <c r="C475" s="17">
        <f>0+10*(B475*$B$470)</f>
        <v>0</v>
      </c>
      <c r="D475" s="6">
        <f>IF($C$470&lt;&gt;0,0.1*C475/$C$470,"")</f>
        <v>0</v>
      </c>
      <c r="E475" s="10"/>
    </row>
    <row r="476" spans="1:5">
      <c r="A476" s="11" t="s">
        <v>452</v>
      </c>
      <c r="B476" s="7">
        <f>'Yard'!$F$74</f>
        <v>0</v>
      </c>
      <c r="C476" s="17">
        <f>0+10*(B476*$B$470)</f>
        <v>0</v>
      </c>
      <c r="D476" s="6">
        <f>IF($C$470&lt;&gt;0,0.1*C476/$C$470,"")</f>
        <v>0</v>
      </c>
      <c r="E476" s="10"/>
    </row>
    <row r="477" spans="1:5">
      <c r="A477" s="11" t="s">
        <v>453</v>
      </c>
      <c r="B477" s="7">
        <f>'Yard'!$G$74</f>
        <v>0</v>
      </c>
      <c r="C477" s="17">
        <f>0+10*(B477*$B$470)</f>
        <v>0</v>
      </c>
      <c r="D477" s="6">
        <f>IF($C$470&lt;&gt;0,0.1*C477/$C$470,"")</f>
        <v>0</v>
      </c>
      <c r="E477" s="10"/>
    </row>
    <row r="478" spans="1:5">
      <c r="A478" s="11" t="s">
        <v>454</v>
      </c>
      <c r="B478" s="7">
        <f>'Yard'!$H$74</f>
        <v>0</v>
      </c>
      <c r="C478" s="17">
        <f>0+10*(B478*$B$470)</f>
        <v>0</v>
      </c>
      <c r="D478" s="6">
        <f>IF($C$470&lt;&gt;0,0.1*C478/$C$470,"")</f>
        <v>0</v>
      </c>
      <c r="E478" s="10"/>
    </row>
    <row r="479" spans="1:5">
      <c r="A479" s="11" t="s">
        <v>455</v>
      </c>
      <c r="B479" s="7">
        <f>'Yard'!$I$74</f>
        <v>0</v>
      </c>
      <c r="C479" s="17">
        <f>0+10*(B479*$B$470)</f>
        <v>0</v>
      </c>
      <c r="D479" s="6">
        <f>IF($C$470&lt;&gt;0,0.1*C479/$C$470,"")</f>
        <v>0</v>
      </c>
      <c r="E479" s="10"/>
    </row>
    <row r="480" spans="1:5">
      <c r="A480" s="11" t="s">
        <v>456</v>
      </c>
      <c r="B480" s="7">
        <f>'Yard'!$J$74</f>
        <v>0</v>
      </c>
      <c r="C480" s="17">
        <f>0+10*(B480*$B$470)</f>
        <v>0</v>
      </c>
      <c r="D480" s="6">
        <f>IF($C$470&lt;&gt;0,0.1*C480/$C$470,"")</f>
        <v>0</v>
      </c>
      <c r="E480" s="10"/>
    </row>
    <row r="481" spans="1:5">
      <c r="A481" s="11" t="s">
        <v>1597</v>
      </c>
      <c r="B481" s="9"/>
      <c r="C481" s="17">
        <f>0+10*(B481*$B$470)</f>
        <v>0</v>
      </c>
      <c r="D481" s="6">
        <f>IF($C$470&lt;&gt;0,0.1*C481/$C$470,"")</f>
        <v>0</v>
      </c>
      <c r="E481" s="10"/>
    </row>
    <row r="482" spans="1:5">
      <c r="A482" s="11" t="s">
        <v>1599</v>
      </c>
      <c r="B482" s="7">
        <f>'Yard'!$K$74</f>
        <v>0</v>
      </c>
      <c r="C482" s="17">
        <f>0+10*(B482*$B$470)</f>
        <v>0</v>
      </c>
      <c r="D482" s="6">
        <f>IF($C$470&lt;&gt;0,0.1*C482/$C$470,"")</f>
        <v>0</v>
      </c>
      <c r="E482" s="10"/>
    </row>
    <row r="483" spans="1:5">
      <c r="A483" s="11" t="s">
        <v>1600</v>
      </c>
      <c r="B483" s="7">
        <f>'Yard'!$L$74</f>
        <v>0</v>
      </c>
      <c r="C483" s="17">
        <f>0+10*(B483*$B$470)</f>
        <v>0</v>
      </c>
      <c r="D483" s="6">
        <f>IF($C$470&lt;&gt;0,0.1*C483/$C$470,"")</f>
        <v>0</v>
      </c>
      <c r="E483" s="10"/>
    </row>
    <row r="484" spans="1:5">
      <c r="A484" s="11" t="s">
        <v>1601</v>
      </c>
      <c r="B484" s="7">
        <f>'Yard'!$M$74</f>
        <v>0</v>
      </c>
      <c r="C484" s="17">
        <f>0+10*(B484*$B$470)</f>
        <v>0</v>
      </c>
      <c r="D484" s="6">
        <f>IF($C$470&lt;&gt;0,0.1*C484/$C$470,"")</f>
        <v>0</v>
      </c>
      <c r="E484" s="10"/>
    </row>
    <row r="485" spans="1:5">
      <c r="A485" s="11" t="s">
        <v>1602</v>
      </c>
      <c r="B485" s="7">
        <f>'Yard'!$N$74</f>
        <v>0</v>
      </c>
      <c r="C485" s="17">
        <f>0+10*(B485*$B$470)</f>
        <v>0</v>
      </c>
      <c r="D485" s="6">
        <f>IF($C$470&lt;&gt;0,0.1*C485/$C$470,"")</f>
        <v>0</v>
      </c>
      <c r="E485" s="10"/>
    </row>
    <row r="486" spans="1:5">
      <c r="A486" s="11" t="s">
        <v>1603</v>
      </c>
      <c r="B486" s="7">
        <f>'Yard'!$O$74</f>
        <v>0</v>
      </c>
      <c r="C486" s="17">
        <f>0+10*(B486*$B$470)</f>
        <v>0</v>
      </c>
      <c r="D486" s="6">
        <f>IF($C$470&lt;&gt;0,0.1*C486/$C$470,"")</f>
        <v>0</v>
      </c>
      <c r="E486" s="10"/>
    </row>
    <row r="487" spans="1:5">
      <c r="A487" s="11" t="s">
        <v>1604</v>
      </c>
      <c r="B487" s="7">
        <f>'Yard'!$P$74</f>
        <v>0</v>
      </c>
      <c r="C487" s="17">
        <f>0+10*(B487*$B$470)</f>
        <v>0</v>
      </c>
      <c r="D487" s="6">
        <f>IF($C$470&lt;&gt;0,0.1*C487/$C$470,"")</f>
        <v>0</v>
      </c>
      <c r="E487" s="10"/>
    </row>
    <row r="488" spans="1:5">
      <c r="A488" s="11" t="s">
        <v>1605</v>
      </c>
      <c r="B488" s="7">
        <f>'Yard'!$Q$74</f>
        <v>0</v>
      </c>
      <c r="C488" s="17">
        <f>0+10*(B488*$B$470)</f>
        <v>0</v>
      </c>
      <c r="D488" s="6">
        <f>IF($C$470&lt;&gt;0,0.1*C488/$C$470,"")</f>
        <v>0</v>
      </c>
      <c r="E488" s="10"/>
    </row>
    <row r="489" spans="1:5">
      <c r="A489" s="11" t="s">
        <v>1606</v>
      </c>
      <c r="B489" s="7">
        <f>'Yard'!$R$74</f>
        <v>0</v>
      </c>
      <c r="C489" s="17">
        <f>0+10*(B489*$B$470)</f>
        <v>0</v>
      </c>
      <c r="D489" s="6">
        <f>IF($C$470&lt;&gt;0,0.1*C489/$C$470,"")</f>
        <v>0</v>
      </c>
      <c r="E489" s="10"/>
    </row>
    <row r="490" spans="1:5">
      <c r="A490" s="11" t="s">
        <v>1607</v>
      </c>
      <c r="B490" s="7">
        <f>'Yard'!$S$74</f>
        <v>0</v>
      </c>
      <c r="C490" s="17">
        <f>0+10*(B490*$B$470)</f>
        <v>0</v>
      </c>
      <c r="D490" s="6">
        <f>IF($C$470&lt;&gt;0,0.1*C490/$C$470,"")</f>
        <v>0</v>
      </c>
      <c r="E490" s="10"/>
    </row>
    <row r="491" spans="1:5">
      <c r="A491" s="11" t="s">
        <v>1608</v>
      </c>
      <c r="B491" s="7">
        <f>'Otex'!$B$156</f>
        <v>0</v>
      </c>
      <c r="C491" s="17">
        <f>0+10*(B491*$B$470)</f>
        <v>0</v>
      </c>
      <c r="D491" s="6">
        <f>IF($C$470&lt;&gt;0,0.1*C491/$C$470,"")</f>
        <v>0</v>
      </c>
      <c r="E491" s="10"/>
    </row>
    <row r="492" spans="1:5">
      <c r="A492" s="11" t="s">
        <v>1610</v>
      </c>
      <c r="B492" s="7">
        <f>'Adder'!$B$756</f>
        <v>0</v>
      </c>
      <c r="C492" s="17">
        <f>0+10*(B492*$B$470)</f>
        <v>0</v>
      </c>
      <c r="D492" s="6">
        <f>IF($C$470&lt;&gt;0,0.1*C492/$C$470,"")</f>
        <v>0</v>
      </c>
      <c r="E492" s="10"/>
    </row>
    <row r="493" spans="1:5">
      <c r="A493" s="11" t="s">
        <v>1611</v>
      </c>
      <c r="B493" s="7">
        <f>'Adjust'!$B$84</f>
        <v>0</v>
      </c>
      <c r="C493" s="17">
        <f>0+10*(B493*$B$470)</f>
        <v>0</v>
      </c>
      <c r="D493" s="6">
        <f>IF($C$470&lt;&gt;0,0.1*C493/$C$470,"")</f>
        <v>0</v>
      </c>
      <c r="E493" s="10"/>
    </row>
    <row r="495" spans="1:5">
      <c r="A495" s="11" t="s">
        <v>1612</v>
      </c>
      <c r="B495" s="6">
        <f>SUM($B$473:$B$493)</f>
        <v>0</v>
      </c>
      <c r="C495" s="17">
        <f>SUM($C$473:$C$493)</f>
        <v>0</v>
      </c>
      <c r="D495" s="6">
        <f>SUM($D$473:$D$493)</f>
        <v>0</v>
      </c>
    </row>
    <row r="497" spans="1:5">
      <c r="A497" s="1" t="s">
        <v>215</v>
      </c>
    </row>
    <row r="499" spans="1:5">
      <c r="B499" s="3" t="s">
        <v>221</v>
      </c>
      <c r="C499" s="3" t="s">
        <v>1593</v>
      </c>
    </row>
    <row r="500" spans="1:5">
      <c r="A500" s="11" t="s">
        <v>215</v>
      </c>
      <c r="B500" s="33">
        <f>'Loads'!B$297</f>
        <v>0</v>
      </c>
      <c r="C500" s="33">
        <f>'Multi'!B$124</f>
        <v>0</v>
      </c>
      <c r="D500" s="10"/>
    </row>
    <row r="502" spans="1:5">
      <c r="B502" s="3" t="s">
        <v>1416</v>
      </c>
      <c r="C502" s="3" t="s">
        <v>1595</v>
      </c>
      <c r="D502" s="3" t="s">
        <v>1565</v>
      </c>
    </row>
    <row r="503" spans="1:5">
      <c r="A503" s="11" t="s">
        <v>449</v>
      </c>
      <c r="B503" s="7">
        <f>'Yard'!$C$75</f>
        <v>0</v>
      </c>
      <c r="C503" s="17">
        <f>0+10*(B503*$B$500)</f>
        <v>0</v>
      </c>
      <c r="D503" s="6">
        <f>IF($C$500&lt;&gt;0,0.1*C503/$C$500,"")</f>
        <v>0</v>
      </c>
      <c r="E503" s="10"/>
    </row>
    <row r="504" spans="1:5">
      <c r="A504" s="11" t="s">
        <v>450</v>
      </c>
      <c r="B504" s="7">
        <f>'Yard'!$D$75</f>
        <v>0</v>
      </c>
      <c r="C504" s="17">
        <f>0+10*(B504*$B$500)</f>
        <v>0</v>
      </c>
      <c r="D504" s="6">
        <f>IF($C$500&lt;&gt;0,0.1*C504/$C$500,"")</f>
        <v>0</v>
      </c>
      <c r="E504" s="10"/>
    </row>
    <row r="505" spans="1:5">
      <c r="A505" s="11" t="s">
        <v>451</v>
      </c>
      <c r="B505" s="7">
        <f>'Yard'!$E$75</f>
        <v>0</v>
      </c>
      <c r="C505" s="17">
        <f>0+10*(B505*$B$500)</f>
        <v>0</v>
      </c>
      <c r="D505" s="6">
        <f>IF($C$500&lt;&gt;0,0.1*C505/$C$500,"")</f>
        <v>0</v>
      </c>
      <c r="E505" s="10"/>
    </row>
    <row r="506" spans="1:5">
      <c r="A506" s="11" t="s">
        <v>452</v>
      </c>
      <c r="B506" s="7">
        <f>'Yard'!$F$75</f>
        <v>0</v>
      </c>
      <c r="C506" s="17">
        <f>0+10*(B506*$B$500)</f>
        <v>0</v>
      </c>
      <c r="D506" s="6">
        <f>IF($C$500&lt;&gt;0,0.1*C506/$C$500,"")</f>
        <v>0</v>
      </c>
      <c r="E506" s="10"/>
    </row>
    <row r="507" spans="1:5">
      <c r="A507" s="11" t="s">
        <v>453</v>
      </c>
      <c r="B507" s="7">
        <f>'Yard'!$G$75</f>
        <v>0</v>
      </c>
      <c r="C507" s="17">
        <f>0+10*(B507*$B$500)</f>
        <v>0</v>
      </c>
      <c r="D507" s="6">
        <f>IF($C$500&lt;&gt;0,0.1*C507/$C$500,"")</f>
        <v>0</v>
      </c>
      <c r="E507" s="10"/>
    </row>
    <row r="508" spans="1:5">
      <c r="A508" s="11" t="s">
        <v>454</v>
      </c>
      <c r="B508" s="7">
        <f>'Yard'!$H$75</f>
        <v>0</v>
      </c>
      <c r="C508" s="17">
        <f>0+10*(B508*$B$500)</f>
        <v>0</v>
      </c>
      <c r="D508" s="6">
        <f>IF($C$500&lt;&gt;0,0.1*C508/$C$500,"")</f>
        <v>0</v>
      </c>
      <c r="E508" s="10"/>
    </row>
    <row r="509" spans="1:5">
      <c r="A509" s="11" t="s">
        <v>455</v>
      </c>
      <c r="B509" s="7">
        <f>'Yard'!$I$75</f>
        <v>0</v>
      </c>
      <c r="C509" s="17">
        <f>0+10*(B509*$B$500)</f>
        <v>0</v>
      </c>
      <c r="D509" s="6">
        <f>IF($C$500&lt;&gt;0,0.1*C509/$C$500,"")</f>
        <v>0</v>
      </c>
      <c r="E509" s="10"/>
    </row>
    <row r="510" spans="1:5">
      <c r="A510" s="11" t="s">
        <v>456</v>
      </c>
      <c r="B510" s="7">
        <f>'Yard'!$J$75</f>
        <v>0</v>
      </c>
      <c r="C510" s="17">
        <f>0+10*(B510*$B$500)</f>
        <v>0</v>
      </c>
      <c r="D510" s="6">
        <f>IF($C$500&lt;&gt;0,0.1*C510/$C$500,"")</f>
        <v>0</v>
      </c>
      <c r="E510" s="10"/>
    </row>
    <row r="511" spans="1:5">
      <c r="A511" s="11" t="s">
        <v>1597</v>
      </c>
      <c r="B511" s="9"/>
      <c r="C511" s="17">
        <f>0+10*(B511*$B$500)</f>
        <v>0</v>
      </c>
      <c r="D511" s="6">
        <f>IF($C$500&lt;&gt;0,0.1*C511/$C$500,"")</f>
        <v>0</v>
      </c>
      <c r="E511" s="10"/>
    </row>
    <row r="512" spans="1:5">
      <c r="A512" s="11" t="s">
        <v>1599</v>
      </c>
      <c r="B512" s="7">
        <f>'Yard'!$K$75</f>
        <v>0</v>
      </c>
      <c r="C512" s="17">
        <f>0+10*(B512*$B$500)</f>
        <v>0</v>
      </c>
      <c r="D512" s="6">
        <f>IF($C$500&lt;&gt;0,0.1*C512/$C$500,"")</f>
        <v>0</v>
      </c>
      <c r="E512" s="10"/>
    </row>
    <row r="513" spans="1:5">
      <c r="A513" s="11" t="s">
        <v>1600</v>
      </c>
      <c r="B513" s="7">
        <f>'Yard'!$L$75</f>
        <v>0</v>
      </c>
      <c r="C513" s="17">
        <f>0+10*(B513*$B$500)</f>
        <v>0</v>
      </c>
      <c r="D513" s="6">
        <f>IF($C$500&lt;&gt;0,0.1*C513/$C$500,"")</f>
        <v>0</v>
      </c>
      <c r="E513" s="10"/>
    </row>
    <row r="514" spans="1:5">
      <c r="A514" s="11" t="s">
        <v>1601</v>
      </c>
      <c r="B514" s="7">
        <f>'Yard'!$M$75</f>
        <v>0</v>
      </c>
      <c r="C514" s="17">
        <f>0+10*(B514*$B$500)</f>
        <v>0</v>
      </c>
      <c r="D514" s="6">
        <f>IF($C$500&lt;&gt;0,0.1*C514/$C$500,"")</f>
        <v>0</v>
      </c>
      <c r="E514" s="10"/>
    </row>
    <row r="515" spans="1:5">
      <c r="A515" s="11" t="s">
        <v>1602</v>
      </c>
      <c r="B515" s="7">
        <f>'Yard'!$N$75</f>
        <v>0</v>
      </c>
      <c r="C515" s="17">
        <f>0+10*(B515*$B$500)</f>
        <v>0</v>
      </c>
      <c r="D515" s="6">
        <f>IF($C$500&lt;&gt;0,0.1*C515/$C$500,"")</f>
        <v>0</v>
      </c>
      <c r="E515" s="10"/>
    </row>
    <row r="516" spans="1:5">
      <c r="A516" s="11" t="s">
        <v>1603</v>
      </c>
      <c r="B516" s="7">
        <f>'Yard'!$O$75</f>
        <v>0</v>
      </c>
      <c r="C516" s="17">
        <f>0+10*(B516*$B$500)</f>
        <v>0</v>
      </c>
      <c r="D516" s="6">
        <f>IF($C$500&lt;&gt;0,0.1*C516/$C$500,"")</f>
        <v>0</v>
      </c>
      <c r="E516" s="10"/>
    </row>
    <row r="517" spans="1:5">
      <c r="A517" s="11" t="s">
        <v>1604</v>
      </c>
      <c r="B517" s="7">
        <f>'Yard'!$P$75</f>
        <v>0</v>
      </c>
      <c r="C517" s="17">
        <f>0+10*(B517*$B$500)</f>
        <v>0</v>
      </c>
      <c r="D517" s="6">
        <f>IF($C$500&lt;&gt;0,0.1*C517/$C$500,"")</f>
        <v>0</v>
      </c>
      <c r="E517" s="10"/>
    </row>
    <row r="518" spans="1:5">
      <c r="A518" s="11" t="s">
        <v>1605</v>
      </c>
      <c r="B518" s="7">
        <f>'Yard'!$Q$75</f>
        <v>0</v>
      </c>
      <c r="C518" s="17">
        <f>0+10*(B518*$B$500)</f>
        <v>0</v>
      </c>
      <c r="D518" s="6">
        <f>IF($C$500&lt;&gt;0,0.1*C518/$C$500,"")</f>
        <v>0</v>
      </c>
      <c r="E518" s="10"/>
    </row>
    <row r="519" spans="1:5">
      <c r="A519" s="11" t="s">
        <v>1606</v>
      </c>
      <c r="B519" s="7">
        <f>'Yard'!$R$75</f>
        <v>0</v>
      </c>
      <c r="C519" s="17">
        <f>0+10*(B519*$B$500)</f>
        <v>0</v>
      </c>
      <c r="D519" s="6">
        <f>IF($C$500&lt;&gt;0,0.1*C519/$C$500,"")</f>
        <v>0</v>
      </c>
      <c r="E519" s="10"/>
    </row>
    <row r="520" spans="1:5">
      <c r="A520" s="11" t="s">
        <v>1607</v>
      </c>
      <c r="B520" s="7">
        <f>'Yard'!$S$75</f>
        <v>0</v>
      </c>
      <c r="C520" s="17">
        <f>0+10*(B520*$B$500)</f>
        <v>0</v>
      </c>
      <c r="D520" s="6">
        <f>IF($C$500&lt;&gt;0,0.1*C520/$C$500,"")</f>
        <v>0</v>
      </c>
      <c r="E520" s="10"/>
    </row>
    <row r="521" spans="1:5">
      <c r="A521" s="11" t="s">
        <v>1608</v>
      </c>
      <c r="B521" s="7">
        <f>'Otex'!$B$157</f>
        <v>0</v>
      </c>
      <c r="C521" s="17">
        <f>0+10*(B521*$B$500)</f>
        <v>0</v>
      </c>
      <c r="D521" s="6">
        <f>IF($C$500&lt;&gt;0,0.1*C521/$C$500,"")</f>
        <v>0</v>
      </c>
      <c r="E521" s="10"/>
    </row>
    <row r="522" spans="1:5">
      <c r="A522" s="11" t="s">
        <v>1610</v>
      </c>
      <c r="B522" s="7">
        <f>'Adder'!$B$757</f>
        <v>0</v>
      </c>
      <c r="C522" s="17">
        <f>0+10*(B522*$B$500)</f>
        <v>0</v>
      </c>
      <c r="D522" s="6">
        <f>IF($C$500&lt;&gt;0,0.1*C522/$C$500,"")</f>
        <v>0</v>
      </c>
      <c r="E522" s="10"/>
    </row>
    <row r="523" spans="1:5">
      <c r="A523" s="11" t="s">
        <v>1611</v>
      </c>
      <c r="B523" s="7">
        <f>'Adjust'!$B$85</f>
        <v>0</v>
      </c>
      <c r="C523" s="17">
        <f>0+10*(B523*$B$500)</f>
        <v>0</v>
      </c>
      <c r="D523" s="6">
        <f>IF($C$500&lt;&gt;0,0.1*C523/$C$500,"")</f>
        <v>0</v>
      </c>
      <c r="E523" s="10"/>
    </row>
    <row r="525" spans="1:5">
      <c r="A525" s="11" t="s">
        <v>1612</v>
      </c>
      <c r="B525" s="6">
        <f>SUM($B$503:$B$523)</f>
        <v>0</v>
      </c>
      <c r="C525" s="17">
        <f>SUM($C$503:$C$523)</f>
        <v>0</v>
      </c>
      <c r="D525" s="6">
        <f>SUM($D$503:$D$523)</f>
        <v>0</v>
      </c>
    </row>
    <row r="527" spans="1:5">
      <c r="A527" s="1" t="s">
        <v>216</v>
      </c>
    </row>
    <row r="529" spans="1:8">
      <c r="B529" s="3" t="s">
        <v>221</v>
      </c>
      <c r="C529" s="3" t="s">
        <v>222</v>
      </c>
      <c r="D529" s="3" t="s">
        <v>223</v>
      </c>
      <c r="E529" s="3" t="s">
        <v>1593</v>
      </c>
    </row>
    <row r="530" spans="1:8">
      <c r="A530" s="11" t="s">
        <v>216</v>
      </c>
      <c r="B530" s="33">
        <f>'Loads'!B$298</f>
        <v>0</v>
      </c>
      <c r="C530" s="33">
        <f>'Loads'!C$298</f>
        <v>0</v>
      </c>
      <c r="D530" s="33">
        <f>'Loads'!D$298</f>
        <v>0</v>
      </c>
      <c r="E530" s="33">
        <f>'Multi'!B$125</f>
        <v>0</v>
      </c>
      <c r="F530" s="10"/>
    </row>
    <row r="532" spans="1:8">
      <c r="B532" s="3" t="s">
        <v>1416</v>
      </c>
      <c r="C532" s="3" t="s">
        <v>1417</v>
      </c>
      <c r="D532" s="3" t="s">
        <v>1418</v>
      </c>
      <c r="E532" s="3" t="s">
        <v>1613</v>
      </c>
      <c r="F532" s="3" t="s">
        <v>1595</v>
      </c>
      <c r="G532" s="3" t="s">
        <v>1565</v>
      </c>
    </row>
    <row r="533" spans="1:8">
      <c r="A533" s="11" t="s">
        <v>449</v>
      </c>
      <c r="B533" s="7">
        <f>'Yard'!$C$76</f>
        <v>0</v>
      </c>
      <c r="C533" s="7">
        <f>'Yard'!$C$99</f>
        <v>0</v>
      </c>
      <c r="D533" s="7">
        <f>'Yard'!$C$117</f>
        <v>0</v>
      </c>
      <c r="E533" s="6">
        <f>IF(E$530&lt;&gt;0,(($B533*B$530+$C533*C$530+$D533*D$530))/E$530,0)</f>
        <v>0</v>
      </c>
      <c r="F533" s="17">
        <f>0+10*(B533*$B$530+C533*$C$530+D533*$D$530)</f>
        <v>0</v>
      </c>
      <c r="G533" s="6">
        <f>IF($E$530&lt;&gt;0,0.1*F533/$E$530,"")</f>
        <v>0</v>
      </c>
      <c r="H533" s="10"/>
    </row>
    <row r="534" spans="1:8">
      <c r="A534" s="11" t="s">
        <v>450</v>
      </c>
      <c r="B534" s="7">
        <f>'Yard'!$D$76</f>
        <v>0</v>
      </c>
      <c r="C534" s="7">
        <f>'Yard'!$D$99</f>
        <v>0</v>
      </c>
      <c r="D534" s="7">
        <f>'Yard'!$D$117</f>
        <v>0</v>
      </c>
      <c r="E534" s="6">
        <f>IF(E$530&lt;&gt;0,(($B534*B$530+$C534*C$530+$D534*D$530))/E$530,0)</f>
        <v>0</v>
      </c>
      <c r="F534" s="17">
        <f>0+10*(B534*$B$530+C534*$C$530+D534*$D$530)</f>
        <v>0</v>
      </c>
      <c r="G534" s="6">
        <f>IF($E$530&lt;&gt;0,0.1*F534/$E$530,"")</f>
        <v>0</v>
      </c>
      <c r="H534" s="10"/>
    </row>
    <row r="535" spans="1:8">
      <c r="A535" s="11" t="s">
        <v>451</v>
      </c>
      <c r="B535" s="7">
        <f>'Yard'!$E$76</f>
        <v>0</v>
      </c>
      <c r="C535" s="7">
        <f>'Yard'!$E$99</f>
        <v>0</v>
      </c>
      <c r="D535" s="7">
        <f>'Yard'!$E$117</f>
        <v>0</v>
      </c>
      <c r="E535" s="6">
        <f>IF(E$530&lt;&gt;0,(($B535*B$530+$C535*C$530+$D535*D$530))/E$530,0)</f>
        <v>0</v>
      </c>
      <c r="F535" s="17">
        <f>0+10*(B535*$B$530+C535*$C$530+D535*$D$530)</f>
        <v>0</v>
      </c>
      <c r="G535" s="6">
        <f>IF($E$530&lt;&gt;0,0.1*F535/$E$530,"")</f>
        <v>0</v>
      </c>
      <c r="H535" s="10"/>
    </row>
    <row r="536" spans="1:8">
      <c r="A536" s="11" t="s">
        <v>452</v>
      </c>
      <c r="B536" s="7">
        <f>'Yard'!$F$76</f>
        <v>0</v>
      </c>
      <c r="C536" s="7">
        <f>'Yard'!$F$99</f>
        <v>0</v>
      </c>
      <c r="D536" s="7">
        <f>'Yard'!$F$117</f>
        <v>0</v>
      </c>
      <c r="E536" s="6">
        <f>IF(E$530&lt;&gt;0,(($B536*B$530+$C536*C$530+$D536*D$530))/E$530,0)</f>
        <v>0</v>
      </c>
      <c r="F536" s="17">
        <f>0+10*(B536*$B$530+C536*$C$530+D536*$D$530)</f>
        <v>0</v>
      </c>
      <c r="G536" s="6">
        <f>IF($E$530&lt;&gt;0,0.1*F536/$E$530,"")</f>
        <v>0</v>
      </c>
      <c r="H536" s="10"/>
    </row>
    <row r="537" spans="1:8">
      <c r="A537" s="11" t="s">
        <v>453</v>
      </c>
      <c r="B537" s="7">
        <f>'Yard'!$G$76</f>
        <v>0</v>
      </c>
      <c r="C537" s="7">
        <f>'Yard'!$G$99</f>
        <v>0</v>
      </c>
      <c r="D537" s="7">
        <f>'Yard'!$G$117</f>
        <v>0</v>
      </c>
      <c r="E537" s="6">
        <f>IF(E$530&lt;&gt;0,(($B537*B$530+$C537*C$530+$D537*D$530))/E$530,0)</f>
        <v>0</v>
      </c>
      <c r="F537" s="17">
        <f>0+10*(B537*$B$530+C537*$C$530+D537*$D$530)</f>
        <v>0</v>
      </c>
      <c r="G537" s="6">
        <f>IF($E$530&lt;&gt;0,0.1*F537/$E$530,"")</f>
        <v>0</v>
      </c>
      <c r="H537" s="10"/>
    </row>
    <row r="538" spans="1:8">
      <c r="A538" s="11" t="s">
        <v>454</v>
      </c>
      <c r="B538" s="7">
        <f>'Yard'!$H$76</f>
        <v>0</v>
      </c>
      <c r="C538" s="7">
        <f>'Yard'!$H$99</f>
        <v>0</v>
      </c>
      <c r="D538" s="7">
        <f>'Yard'!$H$117</f>
        <v>0</v>
      </c>
      <c r="E538" s="6">
        <f>IF(E$530&lt;&gt;0,(($B538*B$530+$C538*C$530+$D538*D$530))/E$530,0)</f>
        <v>0</v>
      </c>
      <c r="F538" s="17">
        <f>0+10*(B538*$B$530+C538*$C$530+D538*$D$530)</f>
        <v>0</v>
      </c>
      <c r="G538" s="6">
        <f>IF($E$530&lt;&gt;0,0.1*F538/$E$530,"")</f>
        <v>0</v>
      </c>
      <c r="H538" s="10"/>
    </row>
    <row r="539" spans="1:8">
      <c r="A539" s="11" t="s">
        <v>455</v>
      </c>
      <c r="B539" s="7">
        <f>'Yard'!$I$76</f>
        <v>0</v>
      </c>
      <c r="C539" s="7">
        <f>'Yard'!$I$99</f>
        <v>0</v>
      </c>
      <c r="D539" s="7">
        <f>'Yard'!$I$117</f>
        <v>0</v>
      </c>
      <c r="E539" s="6">
        <f>IF(E$530&lt;&gt;0,(($B539*B$530+$C539*C$530+$D539*D$530))/E$530,0)</f>
        <v>0</v>
      </c>
      <c r="F539" s="17">
        <f>0+10*(B539*$B$530+C539*$C$530+D539*$D$530)</f>
        <v>0</v>
      </c>
      <c r="G539" s="6">
        <f>IF($E$530&lt;&gt;0,0.1*F539/$E$530,"")</f>
        <v>0</v>
      </c>
      <c r="H539" s="10"/>
    </row>
    <row r="540" spans="1:8">
      <c r="A540" s="11" t="s">
        <v>456</v>
      </c>
      <c r="B540" s="7">
        <f>'Yard'!$J$76</f>
        <v>0</v>
      </c>
      <c r="C540" s="7">
        <f>'Yard'!$J$99</f>
        <v>0</v>
      </c>
      <c r="D540" s="7">
        <f>'Yard'!$J$117</f>
        <v>0</v>
      </c>
      <c r="E540" s="6">
        <f>IF(E$530&lt;&gt;0,(($B540*B$530+$C540*C$530+$D540*D$530))/E$530,0)</f>
        <v>0</v>
      </c>
      <c r="F540" s="17">
        <f>0+10*(B540*$B$530+C540*$C$530+D540*$D$530)</f>
        <v>0</v>
      </c>
      <c r="G540" s="6">
        <f>IF($E$530&lt;&gt;0,0.1*F540/$E$530,"")</f>
        <v>0</v>
      </c>
      <c r="H540" s="10"/>
    </row>
    <row r="541" spans="1:8">
      <c r="A541" s="11" t="s">
        <v>1597</v>
      </c>
      <c r="B541" s="9"/>
      <c r="C541" s="9"/>
      <c r="D541" s="9"/>
      <c r="E541" s="6">
        <f>IF(E$530&lt;&gt;0,(($B541*B$530+$C541*C$530+$D541*D$530))/E$530,0)</f>
        <v>0</v>
      </c>
      <c r="F541" s="17">
        <f>0+10*(B541*$B$530+C541*$C$530+D541*$D$530)</f>
        <v>0</v>
      </c>
      <c r="G541" s="6">
        <f>IF($E$530&lt;&gt;0,0.1*F541/$E$530,"")</f>
        <v>0</v>
      </c>
      <c r="H541" s="10"/>
    </row>
    <row r="542" spans="1:8">
      <c r="A542" s="11" t="s">
        <v>1599</v>
      </c>
      <c r="B542" s="7">
        <f>'Yard'!$K$76</f>
        <v>0</v>
      </c>
      <c r="C542" s="7">
        <f>'Yard'!$K$99</f>
        <v>0</v>
      </c>
      <c r="D542" s="7">
        <f>'Yard'!$K$117</f>
        <v>0</v>
      </c>
      <c r="E542" s="6">
        <f>IF(E$530&lt;&gt;0,(($B542*B$530+$C542*C$530+$D542*D$530))/E$530,0)</f>
        <v>0</v>
      </c>
      <c r="F542" s="17">
        <f>0+10*(B542*$B$530+C542*$C$530+D542*$D$530)</f>
        <v>0</v>
      </c>
      <c r="G542" s="6">
        <f>IF($E$530&lt;&gt;0,0.1*F542/$E$530,"")</f>
        <v>0</v>
      </c>
      <c r="H542" s="10"/>
    </row>
    <row r="543" spans="1:8">
      <c r="A543" s="11" t="s">
        <v>1600</v>
      </c>
      <c r="B543" s="7">
        <f>'Yard'!$L$76</f>
        <v>0</v>
      </c>
      <c r="C543" s="7">
        <f>'Yard'!$L$99</f>
        <v>0</v>
      </c>
      <c r="D543" s="7">
        <f>'Yard'!$L$117</f>
        <v>0</v>
      </c>
      <c r="E543" s="6">
        <f>IF(E$530&lt;&gt;0,(($B543*B$530+$C543*C$530+$D543*D$530))/E$530,0)</f>
        <v>0</v>
      </c>
      <c r="F543" s="17">
        <f>0+10*(B543*$B$530+C543*$C$530+D543*$D$530)</f>
        <v>0</v>
      </c>
      <c r="G543" s="6">
        <f>IF($E$530&lt;&gt;0,0.1*F543/$E$530,"")</f>
        <v>0</v>
      </c>
      <c r="H543" s="10"/>
    </row>
    <row r="544" spans="1:8">
      <c r="A544" s="11" t="s">
        <v>1601</v>
      </c>
      <c r="B544" s="7">
        <f>'Yard'!$M$76</f>
        <v>0</v>
      </c>
      <c r="C544" s="7">
        <f>'Yard'!$M$99</f>
        <v>0</v>
      </c>
      <c r="D544" s="7">
        <f>'Yard'!$M$117</f>
        <v>0</v>
      </c>
      <c r="E544" s="6">
        <f>IF(E$530&lt;&gt;0,(($B544*B$530+$C544*C$530+$D544*D$530))/E$530,0)</f>
        <v>0</v>
      </c>
      <c r="F544" s="17">
        <f>0+10*(B544*$B$530+C544*$C$530+D544*$D$530)</f>
        <v>0</v>
      </c>
      <c r="G544" s="6">
        <f>IF($E$530&lt;&gt;0,0.1*F544/$E$530,"")</f>
        <v>0</v>
      </c>
      <c r="H544" s="10"/>
    </row>
    <row r="545" spans="1:8">
      <c r="A545" s="11" t="s">
        <v>1602</v>
      </c>
      <c r="B545" s="7">
        <f>'Yard'!$N$76</f>
        <v>0</v>
      </c>
      <c r="C545" s="7">
        <f>'Yard'!$N$99</f>
        <v>0</v>
      </c>
      <c r="D545" s="7">
        <f>'Yard'!$N$117</f>
        <v>0</v>
      </c>
      <c r="E545" s="6">
        <f>IF(E$530&lt;&gt;0,(($B545*B$530+$C545*C$530+$D545*D$530))/E$530,0)</f>
        <v>0</v>
      </c>
      <c r="F545" s="17">
        <f>0+10*(B545*$B$530+C545*$C$530+D545*$D$530)</f>
        <v>0</v>
      </c>
      <c r="G545" s="6">
        <f>IF($E$530&lt;&gt;0,0.1*F545/$E$530,"")</f>
        <v>0</v>
      </c>
      <c r="H545" s="10"/>
    </row>
    <row r="546" spans="1:8">
      <c r="A546" s="11" t="s">
        <v>1603</v>
      </c>
      <c r="B546" s="7">
        <f>'Yard'!$O$76</f>
        <v>0</v>
      </c>
      <c r="C546" s="7">
        <f>'Yard'!$O$99</f>
        <v>0</v>
      </c>
      <c r="D546" s="7">
        <f>'Yard'!$O$117</f>
        <v>0</v>
      </c>
      <c r="E546" s="6">
        <f>IF(E$530&lt;&gt;0,(($B546*B$530+$C546*C$530+$D546*D$530))/E$530,0)</f>
        <v>0</v>
      </c>
      <c r="F546" s="17">
        <f>0+10*(B546*$B$530+C546*$C$530+D546*$D$530)</f>
        <v>0</v>
      </c>
      <c r="G546" s="6">
        <f>IF($E$530&lt;&gt;0,0.1*F546/$E$530,"")</f>
        <v>0</v>
      </c>
      <c r="H546" s="10"/>
    </row>
    <row r="547" spans="1:8">
      <c r="A547" s="11" t="s">
        <v>1604</v>
      </c>
      <c r="B547" s="7">
        <f>'Yard'!$P$76</f>
        <v>0</v>
      </c>
      <c r="C547" s="7">
        <f>'Yard'!$P$99</f>
        <v>0</v>
      </c>
      <c r="D547" s="7">
        <f>'Yard'!$P$117</f>
        <v>0</v>
      </c>
      <c r="E547" s="6">
        <f>IF(E$530&lt;&gt;0,(($B547*B$530+$C547*C$530+$D547*D$530))/E$530,0)</f>
        <v>0</v>
      </c>
      <c r="F547" s="17">
        <f>0+10*(B547*$B$530+C547*$C$530+D547*$D$530)</f>
        <v>0</v>
      </c>
      <c r="G547" s="6">
        <f>IF($E$530&lt;&gt;0,0.1*F547/$E$530,"")</f>
        <v>0</v>
      </c>
      <c r="H547" s="10"/>
    </row>
    <row r="548" spans="1:8">
      <c r="A548" s="11" t="s">
        <v>1605</v>
      </c>
      <c r="B548" s="7">
        <f>'Yard'!$Q$76</f>
        <v>0</v>
      </c>
      <c r="C548" s="7">
        <f>'Yard'!$Q$99</f>
        <v>0</v>
      </c>
      <c r="D548" s="7">
        <f>'Yard'!$Q$117</f>
        <v>0</v>
      </c>
      <c r="E548" s="6">
        <f>IF(E$530&lt;&gt;0,(($B548*B$530+$C548*C$530+$D548*D$530))/E$530,0)</f>
        <v>0</v>
      </c>
      <c r="F548" s="17">
        <f>0+10*(B548*$B$530+C548*$C$530+D548*$D$530)</f>
        <v>0</v>
      </c>
      <c r="G548" s="6">
        <f>IF($E$530&lt;&gt;0,0.1*F548/$E$530,"")</f>
        <v>0</v>
      </c>
      <c r="H548" s="10"/>
    </row>
    <row r="549" spans="1:8">
      <c r="A549" s="11" t="s">
        <v>1606</v>
      </c>
      <c r="B549" s="7">
        <f>'Yard'!$R$76</f>
        <v>0</v>
      </c>
      <c r="C549" s="7">
        <f>'Yard'!$R$99</f>
        <v>0</v>
      </c>
      <c r="D549" s="7">
        <f>'Yard'!$R$117</f>
        <v>0</v>
      </c>
      <c r="E549" s="6">
        <f>IF(E$530&lt;&gt;0,(($B549*B$530+$C549*C$530+$D549*D$530))/E$530,0)</f>
        <v>0</v>
      </c>
      <c r="F549" s="17">
        <f>0+10*(B549*$B$530+C549*$C$530+D549*$D$530)</f>
        <v>0</v>
      </c>
      <c r="G549" s="6">
        <f>IF($E$530&lt;&gt;0,0.1*F549/$E$530,"")</f>
        <v>0</v>
      </c>
      <c r="H549" s="10"/>
    </row>
    <row r="550" spans="1:8">
      <c r="A550" s="11" t="s">
        <v>1607</v>
      </c>
      <c r="B550" s="7">
        <f>'Yard'!$S$76</f>
        <v>0</v>
      </c>
      <c r="C550" s="7">
        <f>'Yard'!$S$99</f>
        <v>0</v>
      </c>
      <c r="D550" s="7">
        <f>'Yard'!$S$117</f>
        <v>0</v>
      </c>
      <c r="E550" s="6">
        <f>IF(E$530&lt;&gt;0,(($B550*B$530+$C550*C$530+$D550*D$530))/E$530,0)</f>
        <v>0</v>
      </c>
      <c r="F550" s="17">
        <f>0+10*(B550*$B$530+C550*$C$530+D550*$D$530)</f>
        <v>0</v>
      </c>
      <c r="G550" s="6">
        <f>IF($E$530&lt;&gt;0,0.1*F550/$E$530,"")</f>
        <v>0</v>
      </c>
      <c r="H550" s="10"/>
    </row>
    <row r="551" spans="1:8">
      <c r="A551" s="11" t="s">
        <v>1608</v>
      </c>
      <c r="B551" s="7">
        <f>'Otex'!$B$158</f>
        <v>0</v>
      </c>
      <c r="C551" s="7">
        <f>'Otex'!$B$158</f>
        <v>0</v>
      </c>
      <c r="D551" s="7">
        <f>'Otex'!$B$158</f>
        <v>0</v>
      </c>
      <c r="E551" s="6">
        <f>IF(E$530&lt;&gt;0,(($B551*B$530+$C551*C$530+$D551*D$530))/E$530,0)</f>
        <v>0</v>
      </c>
      <c r="F551" s="17">
        <f>0+10*(B551*$B$530+C551*$C$530+D551*$D$530)</f>
        <v>0</v>
      </c>
      <c r="G551" s="6">
        <f>IF($E$530&lt;&gt;0,0.1*F551/$E$530,"")</f>
        <v>0</v>
      </c>
      <c r="H551" s="10"/>
    </row>
    <row r="552" spans="1:8">
      <c r="A552" s="11" t="s">
        <v>1610</v>
      </c>
      <c r="B552" s="7">
        <f>'Adder'!$B$758</f>
        <v>0</v>
      </c>
      <c r="C552" s="7">
        <f>'Adder'!$C$758</f>
        <v>0</v>
      </c>
      <c r="D552" s="7">
        <f>'Adder'!$D$758</f>
        <v>0</v>
      </c>
      <c r="E552" s="6">
        <f>IF(E$530&lt;&gt;0,(($B552*B$530+$C552*C$530+$D552*D$530))/E$530,0)</f>
        <v>0</v>
      </c>
      <c r="F552" s="17">
        <f>0+10*(B552*$B$530+C552*$C$530+D552*$D$530)</f>
        <v>0</v>
      </c>
      <c r="G552" s="6">
        <f>IF($E$530&lt;&gt;0,0.1*F552/$E$530,"")</f>
        <v>0</v>
      </c>
      <c r="H552" s="10"/>
    </row>
    <row r="553" spans="1:8">
      <c r="A553" s="11" t="s">
        <v>1611</v>
      </c>
      <c r="B553" s="7">
        <f>'Adjust'!$B$86</f>
        <v>0</v>
      </c>
      <c r="C553" s="7">
        <f>'Adjust'!$C$86</f>
        <v>0</v>
      </c>
      <c r="D553" s="7">
        <f>'Adjust'!$D$86</f>
        <v>0</v>
      </c>
      <c r="E553" s="6">
        <f>IF(E$530&lt;&gt;0,(($B553*B$530+$C553*C$530+$D553*D$530))/E$530,0)</f>
        <v>0</v>
      </c>
      <c r="F553" s="17">
        <f>0+10*(B553*$B$530+C553*$C$530+D553*$D$530)</f>
        <v>0</v>
      </c>
      <c r="G553" s="6">
        <f>IF($E$530&lt;&gt;0,0.1*F553/$E$530,"")</f>
        <v>0</v>
      </c>
      <c r="H553" s="10"/>
    </row>
    <row r="555" spans="1:8">
      <c r="A555" s="11" t="s">
        <v>1612</v>
      </c>
      <c r="B555" s="6">
        <f>SUM($B$533:$B$553)</f>
        <v>0</v>
      </c>
      <c r="C555" s="6">
        <f>SUM($C$533:$C$553)</f>
        <v>0</v>
      </c>
      <c r="D555" s="6">
        <f>SUM($D$533:$D$553)</f>
        <v>0</v>
      </c>
      <c r="E555" s="6">
        <f>SUM(E$533:E$553)</f>
        <v>0</v>
      </c>
      <c r="F555" s="17">
        <f>SUM($F$533:$F$553)</f>
        <v>0</v>
      </c>
      <c r="G555" s="6">
        <f>SUM($G$533:$G$553)</f>
        <v>0</v>
      </c>
    </row>
    <row r="557" spans="1:8">
      <c r="A557" s="1" t="s">
        <v>180</v>
      </c>
    </row>
    <row r="559" spans="1:8">
      <c r="B559" s="3" t="s">
        <v>221</v>
      </c>
      <c r="C559" s="3" t="s">
        <v>224</v>
      </c>
      <c r="D559" s="3" t="s">
        <v>1593</v>
      </c>
      <c r="E559" s="3" t="s">
        <v>1594</v>
      </c>
    </row>
    <row r="560" spans="1:8">
      <c r="A560" s="11" t="s">
        <v>180</v>
      </c>
      <c r="B560" s="33">
        <f>'Loads'!B$299</f>
        <v>0</v>
      </c>
      <c r="C560" s="33">
        <f>'Loads'!E$299</f>
        <v>0</v>
      </c>
      <c r="D560" s="33">
        <f>'Multi'!B$126</f>
        <v>0</v>
      </c>
      <c r="E560" s="6">
        <f>IF(C560,D560/C560,"")</f>
        <v>0</v>
      </c>
      <c r="F560" s="10"/>
    </row>
    <row r="562" spans="1:7">
      <c r="B562" s="3" t="s">
        <v>1416</v>
      </c>
      <c r="C562" s="3" t="s">
        <v>1419</v>
      </c>
      <c r="D562" s="3" t="s">
        <v>1595</v>
      </c>
      <c r="E562" s="3" t="s">
        <v>1565</v>
      </c>
      <c r="F562" s="3" t="s">
        <v>1596</v>
      </c>
    </row>
    <row r="563" spans="1:7">
      <c r="A563" s="11" t="s">
        <v>449</v>
      </c>
      <c r="B563" s="7">
        <f>'Yard'!$C$40</f>
        <v>0</v>
      </c>
      <c r="C563" s="9"/>
      <c r="D563" s="17">
        <f>0.01*'Input'!$F$58*(C563*$C$560)+10*(B563*$B$560)</f>
        <v>0</v>
      </c>
      <c r="E563" s="6">
        <f>IF($D$560&lt;&gt;0,0.1*D563/$D$560,"")</f>
        <v>0</v>
      </c>
      <c r="F563" s="35">
        <f>IF($C$560&lt;&gt;0,D563/$C$560,"")</f>
        <v>0</v>
      </c>
      <c r="G563" s="10"/>
    </row>
    <row r="564" spans="1:7">
      <c r="A564" s="11" t="s">
        <v>450</v>
      </c>
      <c r="B564" s="7">
        <f>'Yard'!$D$40</f>
        <v>0</v>
      </c>
      <c r="C564" s="9"/>
      <c r="D564" s="17">
        <f>0.01*'Input'!$F$58*(C564*$C$560)+10*(B564*$B$560)</f>
        <v>0</v>
      </c>
      <c r="E564" s="6">
        <f>IF($D$560&lt;&gt;0,0.1*D564/$D$560,"")</f>
        <v>0</v>
      </c>
      <c r="F564" s="35">
        <f>IF($C$560&lt;&gt;0,D564/$C$560,"")</f>
        <v>0</v>
      </c>
      <c r="G564" s="10"/>
    </row>
    <row r="565" spans="1:7">
      <c r="A565" s="11" t="s">
        <v>451</v>
      </c>
      <c r="B565" s="7">
        <f>'Yard'!$E$40</f>
        <v>0</v>
      </c>
      <c r="C565" s="9"/>
      <c r="D565" s="17">
        <f>0.01*'Input'!$F$58*(C565*$C$560)+10*(B565*$B$560)</f>
        <v>0</v>
      </c>
      <c r="E565" s="6">
        <f>IF($D$560&lt;&gt;0,0.1*D565/$D$560,"")</f>
        <v>0</v>
      </c>
      <c r="F565" s="35">
        <f>IF($C$560&lt;&gt;0,D565/$C$560,"")</f>
        <v>0</v>
      </c>
      <c r="G565" s="10"/>
    </row>
    <row r="566" spans="1:7">
      <c r="A566" s="11" t="s">
        <v>452</v>
      </c>
      <c r="B566" s="7">
        <f>'Yard'!$F$40</f>
        <v>0</v>
      </c>
      <c r="C566" s="9"/>
      <c r="D566" s="17">
        <f>0.01*'Input'!$F$58*(C566*$C$560)+10*(B566*$B$560)</f>
        <v>0</v>
      </c>
      <c r="E566" s="6">
        <f>IF($D$560&lt;&gt;0,0.1*D566/$D$560,"")</f>
        <v>0</v>
      </c>
      <c r="F566" s="35">
        <f>IF($C$560&lt;&gt;0,D566/$C$560,"")</f>
        <v>0</v>
      </c>
      <c r="G566" s="10"/>
    </row>
    <row r="567" spans="1:7">
      <c r="A567" s="11" t="s">
        <v>453</v>
      </c>
      <c r="B567" s="7">
        <f>'Yard'!$G$40</f>
        <v>0</v>
      </c>
      <c r="C567" s="9"/>
      <c r="D567" s="17">
        <f>0.01*'Input'!$F$58*(C567*$C$560)+10*(B567*$B$560)</f>
        <v>0</v>
      </c>
      <c r="E567" s="6">
        <f>IF($D$560&lt;&gt;0,0.1*D567/$D$560,"")</f>
        <v>0</v>
      </c>
      <c r="F567" s="35">
        <f>IF($C$560&lt;&gt;0,D567/$C$560,"")</f>
        <v>0</v>
      </c>
      <c r="G567" s="10"/>
    </row>
    <row r="568" spans="1:7">
      <c r="A568" s="11" t="s">
        <v>454</v>
      </c>
      <c r="B568" s="7">
        <f>'Yard'!$H$40</f>
        <v>0</v>
      </c>
      <c r="C568" s="9"/>
      <c r="D568" s="17">
        <f>0.01*'Input'!$F$58*(C568*$C$560)+10*(B568*$B$560)</f>
        <v>0</v>
      </c>
      <c r="E568" s="6">
        <f>IF($D$560&lt;&gt;0,0.1*D568/$D$560,"")</f>
        <v>0</v>
      </c>
      <c r="F568" s="35">
        <f>IF($C$560&lt;&gt;0,D568/$C$560,"")</f>
        <v>0</v>
      </c>
      <c r="G568" s="10"/>
    </row>
    <row r="569" spans="1:7">
      <c r="A569" s="11" t="s">
        <v>455</v>
      </c>
      <c r="B569" s="7">
        <f>'Yard'!$I$40</f>
        <v>0</v>
      </c>
      <c r="C569" s="9"/>
      <c r="D569" s="17">
        <f>0.01*'Input'!$F$58*(C569*$C$560)+10*(B569*$B$560)</f>
        <v>0</v>
      </c>
      <c r="E569" s="6">
        <f>IF($D$560&lt;&gt;0,0.1*D569/$D$560,"")</f>
        <v>0</v>
      </c>
      <c r="F569" s="35">
        <f>IF($C$560&lt;&gt;0,D569/$C$560,"")</f>
        <v>0</v>
      </c>
      <c r="G569" s="10"/>
    </row>
    <row r="570" spans="1:7">
      <c r="A570" s="11" t="s">
        <v>456</v>
      </c>
      <c r="B570" s="7">
        <f>'Yard'!$J$40</f>
        <v>0</v>
      </c>
      <c r="C570" s="9"/>
      <c r="D570" s="17">
        <f>0.01*'Input'!$F$58*(C570*$C$560)+10*(B570*$B$560)</f>
        <v>0</v>
      </c>
      <c r="E570" s="6">
        <f>IF($D$560&lt;&gt;0,0.1*D570/$D$560,"")</f>
        <v>0</v>
      </c>
      <c r="F570" s="35">
        <f>IF($C$560&lt;&gt;0,D570/$C$560,"")</f>
        <v>0</v>
      </c>
      <c r="G570" s="10"/>
    </row>
    <row r="571" spans="1:7">
      <c r="A571" s="11" t="s">
        <v>1597</v>
      </c>
      <c r="B571" s="9"/>
      <c r="C571" s="37">
        <f>'SM'!$B$119</f>
        <v>0</v>
      </c>
      <c r="D571" s="17">
        <f>0.01*'Input'!$F$58*(C571*$C$560)+10*(B571*$B$560)</f>
        <v>0</v>
      </c>
      <c r="E571" s="6">
        <f>IF($D$560&lt;&gt;0,0.1*D571/$D$560,"")</f>
        <v>0</v>
      </c>
      <c r="F571" s="35">
        <f>IF($C$560&lt;&gt;0,D571/$C$560,"")</f>
        <v>0</v>
      </c>
      <c r="G571" s="10"/>
    </row>
    <row r="572" spans="1:7">
      <c r="A572" s="11" t="s">
        <v>1598</v>
      </c>
      <c r="B572" s="9"/>
      <c r="C572" s="37">
        <f>'SM'!$C$119</f>
        <v>0</v>
      </c>
      <c r="D572" s="17">
        <f>0.01*'Input'!$F$58*(C572*$C$560)+10*(B572*$B$560)</f>
        <v>0</v>
      </c>
      <c r="E572" s="6">
        <f>IF($D$560&lt;&gt;0,0.1*D572/$D$560,"")</f>
        <v>0</v>
      </c>
      <c r="F572" s="35">
        <f>IF($C$560&lt;&gt;0,D572/$C$560,"")</f>
        <v>0</v>
      </c>
      <c r="G572" s="10"/>
    </row>
    <row r="573" spans="1:7">
      <c r="A573" s="11" t="s">
        <v>1599</v>
      </c>
      <c r="B573" s="7">
        <f>'Yard'!$K$40</f>
        <v>0</v>
      </c>
      <c r="C573" s="9"/>
      <c r="D573" s="17">
        <f>0.01*'Input'!$F$58*(C573*$C$560)+10*(B573*$B$560)</f>
        <v>0</v>
      </c>
      <c r="E573" s="6">
        <f>IF($D$560&lt;&gt;0,0.1*D573/$D$560,"")</f>
        <v>0</v>
      </c>
      <c r="F573" s="35">
        <f>IF($C$560&lt;&gt;0,D573/$C$560,"")</f>
        <v>0</v>
      </c>
      <c r="G573" s="10"/>
    </row>
    <row r="574" spans="1:7">
      <c r="A574" s="11" t="s">
        <v>1600</v>
      </c>
      <c r="B574" s="7">
        <f>'Yard'!$L$40</f>
        <v>0</v>
      </c>
      <c r="C574" s="9"/>
      <c r="D574" s="17">
        <f>0.01*'Input'!$F$58*(C574*$C$560)+10*(B574*$B$560)</f>
        <v>0</v>
      </c>
      <c r="E574" s="6">
        <f>IF($D$560&lt;&gt;0,0.1*D574/$D$560,"")</f>
        <v>0</v>
      </c>
      <c r="F574" s="35">
        <f>IF($C$560&lt;&gt;0,D574/$C$560,"")</f>
        <v>0</v>
      </c>
      <c r="G574" s="10"/>
    </row>
    <row r="575" spans="1:7">
      <c r="A575" s="11" t="s">
        <v>1601</v>
      </c>
      <c r="B575" s="7">
        <f>'Yard'!$M$40</f>
        <v>0</v>
      </c>
      <c r="C575" s="9"/>
      <c r="D575" s="17">
        <f>0.01*'Input'!$F$58*(C575*$C$560)+10*(B575*$B$560)</f>
        <v>0</v>
      </c>
      <c r="E575" s="6">
        <f>IF($D$560&lt;&gt;0,0.1*D575/$D$560,"")</f>
        <v>0</v>
      </c>
      <c r="F575" s="35">
        <f>IF($C$560&lt;&gt;0,D575/$C$560,"")</f>
        <v>0</v>
      </c>
      <c r="G575" s="10"/>
    </row>
    <row r="576" spans="1:7">
      <c r="A576" s="11" t="s">
        <v>1602</v>
      </c>
      <c r="B576" s="7">
        <f>'Yard'!$N$40</f>
        <v>0</v>
      </c>
      <c r="C576" s="9"/>
      <c r="D576" s="17">
        <f>0.01*'Input'!$F$58*(C576*$C$560)+10*(B576*$B$560)</f>
        <v>0</v>
      </c>
      <c r="E576" s="6">
        <f>IF($D$560&lt;&gt;0,0.1*D576/$D$560,"")</f>
        <v>0</v>
      </c>
      <c r="F576" s="35">
        <f>IF($C$560&lt;&gt;0,D576/$C$560,"")</f>
        <v>0</v>
      </c>
      <c r="G576" s="10"/>
    </row>
    <row r="577" spans="1:7">
      <c r="A577" s="11" t="s">
        <v>1603</v>
      </c>
      <c r="B577" s="7">
        <f>'Yard'!$O$40</f>
        <v>0</v>
      </c>
      <c r="C577" s="9"/>
      <c r="D577" s="17">
        <f>0.01*'Input'!$F$58*(C577*$C$560)+10*(B577*$B$560)</f>
        <v>0</v>
      </c>
      <c r="E577" s="6">
        <f>IF($D$560&lt;&gt;0,0.1*D577/$D$560,"")</f>
        <v>0</v>
      </c>
      <c r="F577" s="35">
        <f>IF($C$560&lt;&gt;0,D577/$C$560,"")</f>
        <v>0</v>
      </c>
      <c r="G577" s="10"/>
    </row>
    <row r="578" spans="1:7">
      <c r="A578" s="11" t="s">
        <v>1604</v>
      </c>
      <c r="B578" s="7">
        <f>'Yard'!$P$40</f>
        <v>0</v>
      </c>
      <c r="C578" s="9"/>
      <c r="D578" s="17">
        <f>0.01*'Input'!$F$58*(C578*$C$560)+10*(B578*$B$560)</f>
        <v>0</v>
      </c>
      <c r="E578" s="6">
        <f>IF($D$560&lt;&gt;0,0.1*D578/$D$560,"")</f>
        <v>0</v>
      </c>
      <c r="F578" s="35">
        <f>IF($C$560&lt;&gt;0,D578/$C$560,"")</f>
        <v>0</v>
      </c>
      <c r="G578" s="10"/>
    </row>
    <row r="579" spans="1:7">
      <c r="A579" s="11" t="s">
        <v>1605</v>
      </c>
      <c r="B579" s="7">
        <f>'Yard'!$Q$40</f>
        <v>0</v>
      </c>
      <c r="C579" s="9"/>
      <c r="D579" s="17">
        <f>0.01*'Input'!$F$58*(C579*$C$560)+10*(B579*$B$560)</f>
        <v>0</v>
      </c>
      <c r="E579" s="6">
        <f>IF($D$560&lt;&gt;0,0.1*D579/$D$560,"")</f>
        <v>0</v>
      </c>
      <c r="F579" s="35">
        <f>IF($C$560&lt;&gt;0,D579/$C$560,"")</f>
        <v>0</v>
      </c>
      <c r="G579" s="10"/>
    </row>
    <row r="580" spans="1:7">
      <c r="A580" s="11" t="s">
        <v>1606</v>
      </c>
      <c r="B580" s="7">
        <f>'Yard'!$R$40</f>
        <v>0</v>
      </c>
      <c r="C580" s="9"/>
      <c r="D580" s="17">
        <f>0.01*'Input'!$F$58*(C580*$C$560)+10*(B580*$B$560)</f>
        <v>0</v>
      </c>
      <c r="E580" s="6">
        <f>IF($D$560&lt;&gt;0,0.1*D580/$D$560,"")</f>
        <v>0</v>
      </c>
      <c r="F580" s="35">
        <f>IF($C$560&lt;&gt;0,D580/$C$560,"")</f>
        <v>0</v>
      </c>
      <c r="G580" s="10"/>
    </row>
    <row r="581" spans="1:7">
      <c r="A581" s="11" t="s">
        <v>1607</v>
      </c>
      <c r="B581" s="7">
        <f>'Yard'!$S$40</f>
        <v>0</v>
      </c>
      <c r="C581" s="9"/>
      <c r="D581" s="17">
        <f>0.01*'Input'!$F$58*(C581*$C$560)+10*(B581*$B$560)</f>
        <v>0</v>
      </c>
      <c r="E581" s="6">
        <f>IF($D$560&lt;&gt;0,0.1*D581/$D$560,"")</f>
        <v>0</v>
      </c>
      <c r="F581" s="35">
        <f>IF($C$560&lt;&gt;0,D581/$C$560,"")</f>
        <v>0</v>
      </c>
      <c r="G581" s="10"/>
    </row>
    <row r="582" spans="1:7">
      <c r="A582" s="11" t="s">
        <v>1608</v>
      </c>
      <c r="B582" s="9"/>
      <c r="C582" s="37">
        <f>'Otex'!$B$138</f>
        <v>0</v>
      </c>
      <c r="D582" s="17">
        <f>0.01*'Input'!$F$58*(C582*$C$560)+10*(B582*$B$560)</f>
        <v>0</v>
      </c>
      <c r="E582" s="6">
        <f>IF($D$560&lt;&gt;0,0.1*D582/$D$560,"")</f>
        <v>0</v>
      </c>
      <c r="F582" s="35">
        <f>IF($C$560&lt;&gt;0,D582/$C$560,"")</f>
        <v>0</v>
      </c>
      <c r="G582" s="10"/>
    </row>
    <row r="583" spans="1:7">
      <c r="A583" s="11" t="s">
        <v>1609</v>
      </c>
      <c r="B583" s="9"/>
      <c r="C583" s="37">
        <f>'Otex'!$C$138</f>
        <v>0</v>
      </c>
      <c r="D583" s="17">
        <f>0.01*'Input'!$F$58*(C583*$C$560)+10*(B583*$B$560)</f>
        <v>0</v>
      </c>
      <c r="E583" s="6">
        <f>IF($D$560&lt;&gt;0,0.1*D583/$D$560,"")</f>
        <v>0</v>
      </c>
      <c r="F583" s="35">
        <f>IF($C$560&lt;&gt;0,D583/$C$560,"")</f>
        <v>0</v>
      </c>
      <c r="G583" s="10"/>
    </row>
    <row r="584" spans="1:7">
      <c r="A584" s="11" t="s">
        <v>1610</v>
      </c>
      <c r="B584" s="7">
        <f>'Adder'!$B$759</f>
        <v>0</v>
      </c>
      <c r="C584" s="37">
        <f>'Adder'!$E$759</f>
        <v>0</v>
      </c>
      <c r="D584" s="17">
        <f>0.01*'Input'!$F$58*(C584*$C$560)+10*(B584*$B$560)</f>
        <v>0</v>
      </c>
      <c r="E584" s="6">
        <f>IF($D$560&lt;&gt;0,0.1*D584/$D$560,"")</f>
        <v>0</v>
      </c>
      <c r="F584" s="35">
        <f>IF($C$560&lt;&gt;0,D584/$C$560,"")</f>
        <v>0</v>
      </c>
      <c r="G584" s="10"/>
    </row>
    <row r="585" spans="1:7">
      <c r="A585" s="11" t="s">
        <v>1611</v>
      </c>
      <c r="B585" s="7">
        <f>'Adjust'!$B$87</f>
        <v>0</v>
      </c>
      <c r="C585" s="37">
        <f>'Adjust'!$E$87</f>
        <v>0</v>
      </c>
      <c r="D585" s="17">
        <f>0.01*'Input'!$F$58*(C585*$C$560)+10*(B585*$B$560)</f>
        <v>0</v>
      </c>
      <c r="E585" s="6">
        <f>IF($D$560&lt;&gt;0,0.1*D585/$D$560,"")</f>
        <v>0</v>
      </c>
      <c r="F585" s="35">
        <f>IF($C$560&lt;&gt;0,D585/$C$560,"")</f>
        <v>0</v>
      </c>
      <c r="G585" s="10"/>
    </row>
    <row r="587" spans="1:7">
      <c r="A587" s="11" t="s">
        <v>1612</v>
      </c>
      <c r="B587" s="6">
        <f>SUM($B$563:$B$585)</f>
        <v>0</v>
      </c>
      <c r="C587" s="35">
        <f>SUM($C$563:$C$585)</f>
        <v>0</v>
      </c>
      <c r="D587" s="17">
        <f>SUM($D$563:$D$585)</f>
        <v>0</v>
      </c>
      <c r="E587" s="6">
        <f>SUM($E$563:$E$585)</f>
        <v>0</v>
      </c>
      <c r="F587" s="35">
        <f>SUM($F$563:$F$585)</f>
        <v>0</v>
      </c>
    </row>
    <row r="589" spans="1:7">
      <c r="A589" s="1" t="s">
        <v>181</v>
      </c>
    </row>
    <row r="591" spans="1:7">
      <c r="B591" s="3" t="s">
        <v>221</v>
      </c>
      <c r="C591" s="3" t="s">
        <v>224</v>
      </c>
      <c r="D591" s="3" t="s">
        <v>1593</v>
      </c>
      <c r="E591" s="3" t="s">
        <v>1594</v>
      </c>
    </row>
    <row r="592" spans="1:7">
      <c r="A592" s="11" t="s">
        <v>181</v>
      </c>
      <c r="B592" s="33">
        <f>'Loads'!B$300</f>
        <v>0</v>
      </c>
      <c r="C592" s="33">
        <f>'Loads'!E$300</f>
        <v>0</v>
      </c>
      <c r="D592" s="33">
        <f>'Multi'!B$127</f>
        <v>0</v>
      </c>
      <c r="E592" s="6">
        <f>IF(C592,D592/C592,"")</f>
        <v>0</v>
      </c>
      <c r="F592" s="10"/>
    </row>
    <row r="594" spans="1:7">
      <c r="B594" s="3" t="s">
        <v>1416</v>
      </c>
      <c r="C594" s="3" t="s">
        <v>1419</v>
      </c>
      <c r="D594" s="3" t="s">
        <v>1595</v>
      </c>
      <c r="E594" s="3" t="s">
        <v>1565</v>
      </c>
      <c r="F594" s="3" t="s">
        <v>1596</v>
      </c>
    </row>
    <row r="595" spans="1:7">
      <c r="A595" s="11" t="s">
        <v>449</v>
      </c>
      <c r="B595" s="7">
        <f>'Yard'!$C$41</f>
        <v>0</v>
      </c>
      <c r="C595" s="9"/>
      <c r="D595" s="17">
        <f>0.01*'Input'!$F$58*(C595*$C$592)+10*(B595*$B$592)</f>
        <v>0</v>
      </c>
      <c r="E595" s="6">
        <f>IF($D$592&lt;&gt;0,0.1*D595/$D$592,"")</f>
        <v>0</v>
      </c>
      <c r="F595" s="35">
        <f>IF($C$592&lt;&gt;0,D595/$C$592,"")</f>
        <v>0</v>
      </c>
      <c r="G595" s="10"/>
    </row>
    <row r="596" spans="1:7">
      <c r="A596" s="11" t="s">
        <v>450</v>
      </c>
      <c r="B596" s="7">
        <f>'Yard'!$D$41</f>
        <v>0</v>
      </c>
      <c r="C596" s="9"/>
      <c r="D596" s="17">
        <f>0.01*'Input'!$F$58*(C596*$C$592)+10*(B596*$B$592)</f>
        <v>0</v>
      </c>
      <c r="E596" s="6">
        <f>IF($D$592&lt;&gt;0,0.1*D596/$D$592,"")</f>
        <v>0</v>
      </c>
      <c r="F596" s="35">
        <f>IF($C$592&lt;&gt;0,D596/$C$592,"")</f>
        <v>0</v>
      </c>
      <c r="G596" s="10"/>
    </row>
    <row r="597" spans="1:7">
      <c r="A597" s="11" t="s">
        <v>451</v>
      </c>
      <c r="B597" s="7">
        <f>'Yard'!$E$41</f>
        <v>0</v>
      </c>
      <c r="C597" s="9"/>
      <c r="D597" s="17">
        <f>0.01*'Input'!$F$58*(C597*$C$592)+10*(B597*$B$592)</f>
        <v>0</v>
      </c>
      <c r="E597" s="6">
        <f>IF($D$592&lt;&gt;0,0.1*D597/$D$592,"")</f>
        <v>0</v>
      </c>
      <c r="F597" s="35">
        <f>IF($C$592&lt;&gt;0,D597/$C$592,"")</f>
        <v>0</v>
      </c>
      <c r="G597" s="10"/>
    </row>
    <row r="598" spans="1:7">
      <c r="A598" s="11" t="s">
        <v>452</v>
      </c>
      <c r="B598" s="7">
        <f>'Yard'!$F$41</f>
        <v>0</v>
      </c>
      <c r="C598" s="9"/>
      <c r="D598" s="17">
        <f>0.01*'Input'!$F$58*(C598*$C$592)+10*(B598*$B$592)</f>
        <v>0</v>
      </c>
      <c r="E598" s="6">
        <f>IF($D$592&lt;&gt;0,0.1*D598/$D$592,"")</f>
        <v>0</v>
      </c>
      <c r="F598" s="35">
        <f>IF($C$592&lt;&gt;0,D598/$C$592,"")</f>
        <v>0</v>
      </c>
      <c r="G598" s="10"/>
    </row>
    <row r="599" spans="1:7">
      <c r="A599" s="11" t="s">
        <v>453</v>
      </c>
      <c r="B599" s="7">
        <f>'Yard'!$G$41</f>
        <v>0</v>
      </c>
      <c r="C599" s="9"/>
      <c r="D599" s="17">
        <f>0.01*'Input'!$F$58*(C599*$C$592)+10*(B599*$B$592)</f>
        <v>0</v>
      </c>
      <c r="E599" s="6">
        <f>IF($D$592&lt;&gt;0,0.1*D599/$D$592,"")</f>
        <v>0</v>
      </c>
      <c r="F599" s="35">
        <f>IF($C$592&lt;&gt;0,D599/$C$592,"")</f>
        <v>0</v>
      </c>
      <c r="G599" s="10"/>
    </row>
    <row r="600" spans="1:7">
      <c r="A600" s="11" t="s">
        <v>454</v>
      </c>
      <c r="B600" s="7">
        <f>'Yard'!$H$41</f>
        <v>0</v>
      </c>
      <c r="C600" s="9"/>
      <c r="D600" s="17">
        <f>0.01*'Input'!$F$58*(C600*$C$592)+10*(B600*$B$592)</f>
        <v>0</v>
      </c>
      <c r="E600" s="6">
        <f>IF($D$592&lt;&gt;0,0.1*D600/$D$592,"")</f>
        <v>0</v>
      </c>
      <c r="F600" s="35">
        <f>IF($C$592&lt;&gt;0,D600/$C$592,"")</f>
        <v>0</v>
      </c>
      <c r="G600" s="10"/>
    </row>
    <row r="601" spans="1:7">
      <c r="A601" s="11" t="s">
        <v>455</v>
      </c>
      <c r="B601" s="7">
        <f>'Yard'!$I$41</f>
        <v>0</v>
      </c>
      <c r="C601" s="9"/>
      <c r="D601" s="17">
        <f>0.01*'Input'!$F$58*(C601*$C$592)+10*(B601*$B$592)</f>
        <v>0</v>
      </c>
      <c r="E601" s="6">
        <f>IF($D$592&lt;&gt;0,0.1*D601/$D$592,"")</f>
        <v>0</v>
      </c>
      <c r="F601" s="35">
        <f>IF($C$592&lt;&gt;0,D601/$C$592,"")</f>
        <v>0</v>
      </c>
      <c r="G601" s="10"/>
    </row>
    <row r="602" spans="1:7">
      <c r="A602" s="11" t="s">
        <v>456</v>
      </c>
      <c r="B602" s="7">
        <f>'Yard'!$J$41</f>
        <v>0</v>
      </c>
      <c r="C602" s="9"/>
      <c r="D602" s="17">
        <f>0.01*'Input'!$F$58*(C602*$C$592)+10*(B602*$B$592)</f>
        <v>0</v>
      </c>
      <c r="E602" s="6">
        <f>IF($D$592&lt;&gt;0,0.1*D602/$D$592,"")</f>
        <v>0</v>
      </c>
      <c r="F602" s="35">
        <f>IF($C$592&lt;&gt;0,D602/$C$592,"")</f>
        <v>0</v>
      </c>
      <c r="G602" s="10"/>
    </row>
    <row r="603" spans="1:7">
      <c r="A603" s="11" t="s">
        <v>1597</v>
      </c>
      <c r="B603" s="9"/>
      <c r="C603" s="37">
        <f>'SM'!$B$120</f>
        <v>0</v>
      </c>
      <c r="D603" s="17">
        <f>0.01*'Input'!$F$58*(C603*$C$592)+10*(B603*$B$592)</f>
        <v>0</v>
      </c>
      <c r="E603" s="6">
        <f>IF($D$592&lt;&gt;0,0.1*D603/$D$592,"")</f>
        <v>0</v>
      </c>
      <c r="F603" s="35">
        <f>IF($C$592&lt;&gt;0,D603/$C$592,"")</f>
        <v>0</v>
      </c>
      <c r="G603" s="10"/>
    </row>
    <row r="604" spans="1:7">
      <c r="A604" s="11" t="s">
        <v>1598</v>
      </c>
      <c r="B604" s="9"/>
      <c r="C604" s="37">
        <f>'SM'!$C$120</f>
        <v>0</v>
      </c>
      <c r="D604" s="17">
        <f>0.01*'Input'!$F$58*(C604*$C$592)+10*(B604*$B$592)</f>
        <v>0</v>
      </c>
      <c r="E604" s="6">
        <f>IF($D$592&lt;&gt;0,0.1*D604/$D$592,"")</f>
        <v>0</v>
      </c>
      <c r="F604" s="35">
        <f>IF($C$592&lt;&gt;0,D604/$C$592,"")</f>
        <v>0</v>
      </c>
      <c r="G604" s="10"/>
    </row>
    <row r="605" spans="1:7">
      <c r="A605" s="11" t="s">
        <v>1599</v>
      </c>
      <c r="B605" s="7">
        <f>'Yard'!$K$41</f>
        <v>0</v>
      </c>
      <c r="C605" s="9"/>
      <c r="D605" s="17">
        <f>0.01*'Input'!$F$58*(C605*$C$592)+10*(B605*$B$592)</f>
        <v>0</v>
      </c>
      <c r="E605" s="6">
        <f>IF($D$592&lt;&gt;0,0.1*D605/$D$592,"")</f>
        <v>0</v>
      </c>
      <c r="F605" s="35">
        <f>IF($C$592&lt;&gt;0,D605/$C$592,"")</f>
        <v>0</v>
      </c>
      <c r="G605" s="10"/>
    </row>
    <row r="606" spans="1:7">
      <c r="A606" s="11" t="s">
        <v>1600</v>
      </c>
      <c r="B606" s="7">
        <f>'Yard'!$L$41</f>
        <v>0</v>
      </c>
      <c r="C606" s="9"/>
      <c r="D606" s="17">
        <f>0.01*'Input'!$F$58*(C606*$C$592)+10*(B606*$B$592)</f>
        <v>0</v>
      </c>
      <c r="E606" s="6">
        <f>IF($D$592&lt;&gt;0,0.1*D606/$D$592,"")</f>
        <v>0</v>
      </c>
      <c r="F606" s="35">
        <f>IF($C$592&lt;&gt;0,D606/$C$592,"")</f>
        <v>0</v>
      </c>
      <c r="G606" s="10"/>
    </row>
    <row r="607" spans="1:7">
      <c r="A607" s="11" t="s">
        <v>1601</v>
      </c>
      <c r="B607" s="7">
        <f>'Yard'!$M$41</f>
        <v>0</v>
      </c>
      <c r="C607" s="9"/>
      <c r="D607" s="17">
        <f>0.01*'Input'!$F$58*(C607*$C$592)+10*(B607*$B$592)</f>
        <v>0</v>
      </c>
      <c r="E607" s="6">
        <f>IF($D$592&lt;&gt;0,0.1*D607/$D$592,"")</f>
        <v>0</v>
      </c>
      <c r="F607" s="35">
        <f>IF($C$592&lt;&gt;0,D607/$C$592,"")</f>
        <v>0</v>
      </c>
      <c r="G607" s="10"/>
    </row>
    <row r="608" spans="1:7">
      <c r="A608" s="11" t="s">
        <v>1602</v>
      </c>
      <c r="B608" s="7">
        <f>'Yard'!$N$41</f>
        <v>0</v>
      </c>
      <c r="C608" s="9"/>
      <c r="D608" s="17">
        <f>0.01*'Input'!$F$58*(C608*$C$592)+10*(B608*$B$592)</f>
        <v>0</v>
      </c>
      <c r="E608" s="6">
        <f>IF($D$592&lt;&gt;0,0.1*D608/$D$592,"")</f>
        <v>0</v>
      </c>
      <c r="F608" s="35">
        <f>IF($C$592&lt;&gt;0,D608/$C$592,"")</f>
        <v>0</v>
      </c>
      <c r="G608" s="10"/>
    </row>
    <row r="609" spans="1:7">
      <c r="A609" s="11" t="s">
        <v>1603</v>
      </c>
      <c r="B609" s="7">
        <f>'Yard'!$O$41</f>
        <v>0</v>
      </c>
      <c r="C609" s="9"/>
      <c r="D609" s="17">
        <f>0.01*'Input'!$F$58*(C609*$C$592)+10*(B609*$B$592)</f>
        <v>0</v>
      </c>
      <c r="E609" s="6">
        <f>IF($D$592&lt;&gt;0,0.1*D609/$D$592,"")</f>
        <v>0</v>
      </c>
      <c r="F609" s="35">
        <f>IF($C$592&lt;&gt;0,D609/$C$592,"")</f>
        <v>0</v>
      </c>
      <c r="G609" s="10"/>
    </row>
    <row r="610" spans="1:7">
      <c r="A610" s="11" t="s">
        <v>1604</v>
      </c>
      <c r="B610" s="7">
        <f>'Yard'!$P$41</f>
        <v>0</v>
      </c>
      <c r="C610" s="9"/>
      <c r="D610" s="17">
        <f>0.01*'Input'!$F$58*(C610*$C$592)+10*(B610*$B$592)</f>
        <v>0</v>
      </c>
      <c r="E610" s="6">
        <f>IF($D$592&lt;&gt;0,0.1*D610/$D$592,"")</f>
        <v>0</v>
      </c>
      <c r="F610" s="35">
        <f>IF($C$592&lt;&gt;0,D610/$C$592,"")</f>
        <v>0</v>
      </c>
      <c r="G610" s="10"/>
    </row>
    <row r="611" spans="1:7">
      <c r="A611" s="11" t="s">
        <v>1605</v>
      </c>
      <c r="B611" s="7">
        <f>'Yard'!$Q$41</f>
        <v>0</v>
      </c>
      <c r="C611" s="9"/>
      <c r="D611" s="17">
        <f>0.01*'Input'!$F$58*(C611*$C$592)+10*(B611*$B$592)</f>
        <v>0</v>
      </c>
      <c r="E611" s="6">
        <f>IF($D$592&lt;&gt;0,0.1*D611/$D$592,"")</f>
        <v>0</v>
      </c>
      <c r="F611" s="35">
        <f>IF($C$592&lt;&gt;0,D611/$C$592,"")</f>
        <v>0</v>
      </c>
      <c r="G611" s="10"/>
    </row>
    <row r="612" spans="1:7">
      <c r="A612" s="11" t="s">
        <v>1606</v>
      </c>
      <c r="B612" s="7">
        <f>'Yard'!$R$41</f>
        <v>0</v>
      </c>
      <c r="C612" s="9"/>
      <c r="D612" s="17">
        <f>0.01*'Input'!$F$58*(C612*$C$592)+10*(B612*$B$592)</f>
        <v>0</v>
      </c>
      <c r="E612" s="6">
        <f>IF($D$592&lt;&gt;0,0.1*D612/$D$592,"")</f>
        <v>0</v>
      </c>
      <c r="F612" s="35">
        <f>IF($C$592&lt;&gt;0,D612/$C$592,"")</f>
        <v>0</v>
      </c>
      <c r="G612" s="10"/>
    </row>
    <row r="613" spans="1:7">
      <c r="A613" s="11" t="s">
        <v>1607</v>
      </c>
      <c r="B613" s="7">
        <f>'Yard'!$S$41</f>
        <v>0</v>
      </c>
      <c r="C613" s="9"/>
      <c r="D613" s="17">
        <f>0.01*'Input'!$F$58*(C613*$C$592)+10*(B613*$B$592)</f>
        <v>0</v>
      </c>
      <c r="E613" s="6">
        <f>IF($D$592&lt;&gt;0,0.1*D613/$D$592,"")</f>
        <v>0</v>
      </c>
      <c r="F613" s="35">
        <f>IF($C$592&lt;&gt;0,D613/$C$592,"")</f>
        <v>0</v>
      </c>
      <c r="G613" s="10"/>
    </row>
    <row r="614" spans="1:7">
      <c r="A614" s="11" t="s">
        <v>1608</v>
      </c>
      <c r="B614" s="9"/>
      <c r="C614" s="37">
        <f>'Otex'!$B$139</f>
        <v>0</v>
      </c>
      <c r="D614" s="17">
        <f>0.01*'Input'!$F$58*(C614*$C$592)+10*(B614*$B$592)</f>
        <v>0</v>
      </c>
      <c r="E614" s="6">
        <f>IF($D$592&lt;&gt;0,0.1*D614/$D$592,"")</f>
        <v>0</v>
      </c>
      <c r="F614" s="35">
        <f>IF($C$592&lt;&gt;0,D614/$C$592,"")</f>
        <v>0</v>
      </c>
      <c r="G614" s="10"/>
    </row>
    <row r="615" spans="1:7">
      <c r="A615" s="11" t="s">
        <v>1609</v>
      </c>
      <c r="B615" s="9"/>
      <c r="C615" s="37">
        <f>'Otex'!$C$139</f>
        <v>0</v>
      </c>
      <c r="D615" s="17">
        <f>0.01*'Input'!$F$58*(C615*$C$592)+10*(B615*$B$592)</f>
        <v>0</v>
      </c>
      <c r="E615" s="6">
        <f>IF($D$592&lt;&gt;0,0.1*D615/$D$592,"")</f>
        <v>0</v>
      </c>
      <c r="F615" s="35">
        <f>IF($C$592&lt;&gt;0,D615/$C$592,"")</f>
        <v>0</v>
      </c>
      <c r="G615" s="10"/>
    </row>
    <row r="616" spans="1:7">
      <c r="A616" s="11" t="s">
        <v>1610</v>
      </c>
      <c r="B616" s="7">
        <f>'Adder'!$B$760</f>
        <v>0</v>
      </c>
      <c r="C616" s="37">
        <f>'Adder'!$E$760</f>
        <v>0</v>
      </c>
      <c r="D616" s="17">
        <f>0.01*'Input'!$F$58*(C616*$C$592)+10*(B616*$B$592)</f>
        <v>0</v>
      </c>
      <c r="E616" s="6">
        <f>IF($D$592&lt;&gt;0,0.1*D616/$D$592,"")</f>
        <v>0</v>
      </c>
      <c r="F616" s="35">
        <f>IF($C$592&lt;&gt;0,D616/$C$592,"")</f>
        <v>0</v>
      </c>
      <c r="G616" s="10"/>
    </row>
    <row r="617" spans="1:7">
      <c r="A617" s="11" t="s">
        <v>1611</v>
      </c>
      <c r="B617" s="7">
        <f>'Adjust'!$B$88</f>
        <v>0</v>
      </c>
      <c r="C617" s="37">
        <f>'Adjust'!$E$88</f>
        <v>0</v>
      </c>
      <c r="D617" s="17">
        <f>0.01*'Input'!$F$58*(C617*$C$592)+10*(B617*$B$592)</f>
        <v>0</v>
      </c>
      <c r="E617" s="6">
        <f>IF($D$592&lt;&gt;0,0.1*D617/$D$592,"")</f>
        <v>0</v>
      </c>
      <c r="F617" s="35">
        <f>IF($C$592&lt;&gt;0,D617/$C$592,"")</f>
        <v>0</v>
      </c>
      <c r="G617" s="10"/>
    </row>
    <row r="619" spans="1:7">
      <c r="A619" s="11" t="s">
        <v>1612</v>
      </c>
      <c r="B619" s="6">
        <f>SUM($B$595:$B$617)</f>
        <v>0</v>
      </c>
      <c r="C619" s="35">
        <f>SUM($C$595:$C$617)</f>
        <v>0</v>
      </c>
      <c r="D619" s="17">
        <f>SUM($D$595:$D$617)</f>
        <v>0</v>
      </c>
      <c r="E619" s="6">
        <f>SUM($E$595:$E$617)</f>
        <v>0</v>
      </c>
      <c r="F619" s="35">
        <f>SUM($F$595:$F$617)</f>
        <v>0</v>
      </c>
    </row>
    <row r="621" spans="1:7">
      <c r="A621" s="1" t="s">
        <v>182</v>
      </c>
    </row>
    <row r="623" spans="1:7">
      <c r="B623" s="3" t="s">
        <v>221</v>
      </c>
      <c r="C623" s="3" t="s">
        <v>224</v>
      </c>
      <c r="D623" s="3" t="s">
        <v>226</v>
      </c>
      <c r="E623" s="3" t="s">
        <v>1593</v>
      </c>
      <c r="F623" s="3" t="s">
        <v>1594</v>
      </c>
    </row>
    <row r="624" spans="1:7">
      <c r="A624" s="11" t="s">
        <v>182</v>
      </c>
      <c r="B624" s="33">
        <f>'Loads'!B$301</f>
        <v>0</v>
      </c>
      <c r="C624" s="33">
        <f>'Loads'!E$301</f>
        <v>0</v>
      </c>
      <c r="D624" s="33">
        <f>'Loads'!G$301</f>
        <v>0</v>
      </c>
      <c r="E624" s="33">
        <f>'Multi'!B$128</f>
        <v>0</v>
      </c>
      <c r="F624" s="6">
        <f>IF(C624,E624/C624,"")</f>
        <v>0</v>
      </c>
      <c r="G624" s="10"/>
    </row>
    <row r="626" spans="1:8">
      <c r="B626" s="3" t="s">
        <v>1416</v>
      </c>
      <c r="C626" s="3" t="s">
        <v>1419</v>
      </c>
      <c r="D626" s="3" t="s">
        <v>1047</v>
      </c>
      <c r="E626" s="3" t="s">
        <v>1595</v>
      </c>
      <c r="F626" s="3" t="s">
        <v>1565</v>
      </c>
      <c r="G626" s="3" t="s">
        <v>1596</v>
      </c>
    </row>
    <row r="627" spans="1:8">
      <c r="A627" s="11" t="s">
        <v>449</v>
      </c>
      <c r="B627" s="7">
        <f>'Yard'!$C$42</f>
        <v>0</v>
      </c>
      <c r="C627" s="9"/>
      <c r="D627" s="7">
        <f>'Reactive'!$C$77</f>
        <v>0</v>
      </c>
      <c r="E627" s="17">
        <f>0.01*'Input'!$F$58*(C627*$C$624)+10*(B627*$B$624+D627*$D$624)</f>
        <v>0</v>
      </c>
      <c r="F627" s="6">
        <f>IF($E$624&lt;&gt;0,0.1*E627/$E$624,"")</f>
        <v>0</v>
      </c>
      <c r="G627" s="35">
        <f>IF($C$624&lt;&gt;0,E627/$C$624,"")</f>
        <v>0</v>
      </c>
      <c r="H627" s="10"/>
    </row>
    <row r="628" spans="1:8">
      <c r="A628" s="11" t="s">
        <v>450</v>
      </c>
      <c r="B628" s="7">
        <f>'Yard'!$D$42</f>
        <v>0</v>
      </c>
      <c r="C628" s="9"/>
      <c r="D628" s="7">
        <f>'Reactive'!$D$77</f>
        <v>0</v>
      </c>
      <c r="E628" s="17">
        <f>0.01*'Input'!$F$58*(C628*$C$624)+10*(B628*$B$624+D628*$D$624)</f>
        <v>0</v>
      </c>
      <c r="F628" s="6">
        <f>IF($E$624&lt;&gt;0,0.1*E628/$E$624,"")</f>
        <v>0</v>
      </c>
      <c r="G628" s="35">
        <f>IF($C$624&lt;&gt;0,E628/$C$624,"")</f>
        <v>0</v>
      </c>
      <c r="H628" s="10"/>
    </row>
    <row r="629" spans="1:8">
      <c r="A629" s="11" t="s">
        <v>451</v>
      </c>
      <c r="B629" s="7">
        <f>'Yard'!$E$42</f>
        <v>0</v>
      </c>
      <c r="C629" s="9"/>
      <c r="D629" s="7">
        <f>'Reactive'!$E$77</f>
        <v>0</v>
      </c>
      <c r="E629" s="17">
        <f>0.01*'Input'!$F$58*(C629*$C$624)+10*(B629*$B$624+D629*$D$624)</f>
        <v>0</v>
      </c>
      <c r="F629" s="6">
        <f>IF($E$624&lt;&gt;0,0.1*E629/$E$624,"")</f>
        <v>0</v>
      </c>
      <c r="G629" s="35">
        <f>IF($C$624&lt;&gt;0,E629/$C$624,"")</f>
        <v>0</v>
      </c>
      <c r="H629" s="10"/>
    </row>
    <row r="630" spans="1:8">
      <c r="A630" s="11" t="s">
        <v>452</v>
      </c>
      <c r="B630" s="7">
        <f>'Yard'!$F$42</f>
        <v>0</v>
      </c>
      <c r="C630" s="9"/>
      <c r="D630" s="7">
        <f>'Reactive'!$F$77</f>
        <v>0</v>
      </c>
      <c r="E630" s="17">
        <f>0.01*'Input'!$F$58*(C630*$C$624)+10*(B630*$B$624+D630*$D$624)</f>
        <v>0</v>
      </c>
      <c r="F630" s="6">
        <f>IF($E$624&lt;&gt;0,0.1*E630/$E$624,"")</f>
        <v>0</v>
      </c>
      <c r="G630" s="35">
        <f>IF($C$624&lt;&gt;0,E630/$C$624,"")</f>
        <v>0</v>
      </c>
      <c r="H630" s="10"/>
    </row>
    <row r="631" spans="1:8">
      <c r="A631" s="11" t="s">
        <v>453</v>
      </c>
      <c r="B631" s="7">
        <f>'Yard'!$G$42</f>
        <v>0</v>
      </c>
      <c r="C631" s="9"/>
      <c r="D631" s="7">
        <f>'Reactive'!$G$77</f>
        <v>0</v>
      </c>
      <c r="E631" s="17">
        <f>0.01*'Input'!$F$58*(C631*$C$624)+10*(B631*$B$624+D631*$D$624)</f>
        <v>0</v>
      </c>
      <c r="F631" s="6">
        <f>IF($E$624&lt;&gt;0,0.1*E631/$E$624,"")</f>
        <v>0</v>
      </c>
      <c r="G631" s="35">
        <f>IF($C$624&lt;&gt;0,E631/$C$624,"")</f>
        <v>0</v>
      </c>
      <c r="H631" s="10"/>
    </row>
    <row r="632" spans="1:8">
      <c r="A632" s="11" t="s">
        <v>454</v>
      </c>
      <c r="B632" s="7">
        <f>'Yard'!$H$42</f>
        <v>0</v>
      </c>
      <c r="C632" s="9"/>
      <c r="D632" s="7">
        <f>'Reactive'!$H$77</f>
        <v>0</v>
      </c>
      <c r="E632" s="17">
        <f>0.01*'Input'!$F$58*(C632*$C$624)+10*(B632*$B$624+D632*$D$624)</f>
        <v>0</v>
      </c>
      <c r="F632" s="6">
        <f>IF($E$624&lt;&gt;0,0.1*E632/$E$624,"")</f>
        <v>0</v>
      </c>
      <c r="G632" s="35">
        <f>IF($C$624&lt;&gt;0,E632/$C$624,"")</f>
        <v>0</v>
      </c>
      <c r="H632" s="10"/>
    </row>
    <row r="633" spans="1:8">
      <c r="A633" s="11" t="s">
        <v>455</v>
      </c>
      <c r="B633" s="7">
        <f>'Yard'!$I$42</f>
        <v>0</v>
      </c>
      <c r="C633" s="9"/>
      <c r="D633" s="7">
        <f>'Reactive'!$I$77</f>
        <v>0</v>
      </c>
      <c r="E633" s="17">
        <f>0.01*'Input'!$F$58*(C633*$C$624)+10*(B633*$B$624+D633*$D$624)</f>
        <v>0</v>
      </c>
      <c r="F633" s="6">
        <f>IF($E$624&lt;&gt;0,0.1*E633/$E$624,"")</f>
        <v>0</v>
      </c>
      <c r="G633" s="35">
        <f>IF($C$624&lt;&gt;0,E633/$C$624,"")</f>
        <v>0</v>
      </c>
      <c r="H633" s="10"/>
    </row>
    <row r="634" spans="1:8">
      <c r="A634" s="11" t="s">
        <v>456</v>
      </c>
      <c r="B634" s="7">
        <f>'Yard'!$J$42</f>
        <v>0</v>
      </c>
      <c r="C634" s="9"/>
      <c r="D634" s="7">
        <f>'Reactive'!$J$77</f>
        <v>0</v>
      </c>
      <c r="E634" s="17">
        <f>0.01*'Input'!$F$58*(C634*$C$624)+10*(B634*$B$624+D634*$D$624)</f>
        <v>0</v>
      </c>
      <c r="F634" s="6">
        <f>IF($E$624&lt;&gt;0,0.1*E634/$E$624,"")</f>
        <v>0</v>
      </c>
      <c r="G634" s="35">
        <f>IF($C$624&lt;&gt;0,E634/$C$624,"")</f>
        <v>0</v>
      </c>
      <c r="H634" s="10"/>
    </row>
    <row r="635" spans="1:8">
      <c r="A635" s="11" t="s">
        <v>1597</v>
      </c>
      <c r="B635" s="9"/>
      <c r="C635" s="37">
        <f>'SM'!$B$121</f>
        <v>0</v>
      </c>
      <c r="D635" s="9"/>
      <c r="E635" s="17">
        <f>0.01*'Input'!$F$58*(C635*$C$624)+10*(B635*$B$624+D635*$D$624)</f>
        <v>0</v>
      </c>
      <c r="F635" s="6">
        <f>IF($E$624&lt;&gt;0,0.1*E635/$E$624,"")</f>
        <v>0</v>
      </c>
      <c r="G635" s="35">
        <f>IF($C$624&lt;&gt;0,E635/$C$624,"")</f>
        <v>0</v>
      </c>
      <c r="H635" s="10"/>
    </row>
    <row r="636" spans="1:8">
      <c r="A636" s="11" t="s">
        <v>1598</v>
      </c>
      <c r="B636" s="9"/>
      <c r="C636" s="37">
        <f>'SM'!$C$121</f>
        <v>0</v>
      </c>
      <c r="D636" s="9"/>
      <c r="E636" s="17">
        <f>0.01*'Input'!$F$58*(C636*$C$624)+10*(B636*$B$624+D636*$D$624)</f>
        <v>0</v>
      </c>
      <c r="F636" s="6">
        <f>IF($E$624&lt;&gt;0,0.1*E636/$E$624,"")</f>
        <v>0</v>
      </c>
      <c r="G636" s="35">
        <f>IF($C$624&lt;&gt;0,E636/$C$624,"")</f>
        <v>0</v>
      </c>
      <c r="H636" s="10"/>
    </row>
    <row r="637" spans="1:8">
      <c r="A637" s="11" t="s">
        <v>1599</v>
      </c>
      <c r="B637" s="7">
        <f>'Yard'!$K$42</f>
        <v>0</v>
      </c>
      <c r="C637" s="9"/>
      <c r="D637" s="7">
        <f>'Reactive'!$K$77</f>
        <v>0</v>
      </c>
      <c r="E637" s="17">
        <f>0.01*'Input'!$F$58*(C637*$C$624)+10*(B637*$B$624+D637*$D$624)</f>
        <v>0</v>
      </c>
      <c r="F637" s="6">
        <f>IF($E$624&lt;&gt;0,0.1*E637/$E$624,"")</f>
        <v>0</v>
      </c>
      <c r="G637" s="35">
        <f>IF($C$624&lt;&gt;0,E637/$C$624,"")</f>
        <v>0</v>
      </c>
      <c r="H637" s="10"/>
    </row>
    <row r="638" spans="1:8">
      <c r="A638" s="11" t="s">
        <v>1600</v>
      </c>
      <c r="B638" s="7">
        <f>'Yard'!$L$42</f>
        <v>0</v>
      </c>
      <c r="C638" s="9"/>
      <c r="D638" s="7">
        <f>'Reactive'!$L$77</f>
        <v>0</v>
      </c>
      <c r="E638" s="17">
        <f>0.01*'Input'!$F$58*(C638*$C$624)+10*(B638*$B$624+D638*$D$624)</f>
        <v>0</v>
      </c>
      <c r="F638" s="6">
        <f>IF($E$624&lt;&gt;0,0.1*E638/$E$624,"")</f>
        <v>0</v>
      </c>
      <c r="G638" s="35">
        <f>IF($C$624&lt;&gt;0,E638/$C$624,"")</f>
        <v>0</v>
      </c>
      <c r="H638" s="10"/>
    </row>
    <row r="639" spans="1:8">
      <c r="A639" s="11" t="s">
        <v>1601</v>
      </c>
      <c r="B639" s="7">
        <f>'Yard'!$M$42</f>
        <v>0</v>
      </c>
      <c r="C639" s="9"/>
      <c r="D639" s="7">
        <f>'Reactive'!$M$77</f>
        <v>0</v>
      </c>
      <c r="E639" s="17">
        <f>0.01*'Input'!$F$58*(C639*$C$624)+10*(B639*$B$624+D639*$D$624)</f>
        <v>0</v>
      </c>
      <c r="F639" s="6">
        <f>IF($E$624&lt;&gt;0,0.1*E639/$E$624,"")</f>
        <v>0</v>
      </c>
      <c r="G639" s="35">
        <f>IF($C$624&lt;&gt;0,E639/$C$624,"")</f>
        <v>0</v>
      </c>
      <c r="H639" s="10"/>
    </row>
    <row r="640" spans="1:8">
      <c r="A640" s="11" t="s">
        <v>1602</v>
      </c>
      <c r="B640" s="7">
        <f>'Yard'!$N$42</f>
        <v>0</v>
      </c>
      <c r="C640" s="9"/>
      <c r="D640" s="7">
        <f>'Reactive'!$N$77</f>
        <v>0</v>
      </c>
      <c r="E640" s="17">
        <f>0.01*'Input'!$F$58*(C640*$C$624)+10*(B640*$B$624+D640*$D$624)</f>
        <v>0</v>
      </c>
      <c r="F640" s="6">
        <f>IF($E$624&lt;&gt;0,0.1*E640/$E$624,"")</f>
        <v>0</v>
      </c>
      <c r="G640" s="35">
        <f>IF($C$624&lt;&gt;0,E640/$C$624,"")</f>
        <v>0</v>
      </c>
      <c r="H640" s="10"/>
    </row>
    <row r="641" spans="1:9">
      <c r="A641" s="11" t="s">
        <v>1603</v>
      </c>
      <c r="B641" s="7">
        <f>'Yard'!$O$42</f>
        <v>0</v>
      </c>
      <c r="C641" s="9"/>
      <c r="D641" s="7">
        <f>'Reactive'!$O$77</f>
        <v>0</v>
      </c>
      <c r="E641" s="17">
        <f>0.01*'Input'!$F$58*(C641*$C$624)+10*(B641*$B$624+D641*$D$624)</f>
        <v>0</v>
      </c>
      <c r="F641" s="6">
        <f>IF($E$624&lt;&gt;0,0.1*E641/$E$624,"")</f>
        <v>0</v>
      </c>
      <c r="G641" s="35">
        <f>IF($C$624&lt;&gt;0,E641/$C$624,"")</f>
        <v>0</v>
      </c>
      <c r="H641" s="10"/>
    </row>
    <row r="642" spans="1:9">
      <c r="A642" s="11" t="s">
        <v>1604</v>
      </c>
      <c r="B642" s="7">
        <f>'Yard'!$P$42</f>
        <v>0</v>
      </c>
      <c r="C642" s="9"/>
      <c r="D642" s="7">
        <f>'Reactive'!$P$77</f>
        <v>0</v>
      </c>
      <c r="E642" s="17">
        <f>0.01*'Input'!$F$58*(C642*$C$624)+10*(B642*$B$624+D642*$D$624)</f>
        <v>0</v>
      </c>
      <c r="F642" s="6">
        <f>IF($E$624&lt;&gt;0,0.1*E642/$E$624,"")</f>
        <v>0</v>
      </c>
      <c r="G642" s="35">
        <f>IF($C$624&lt;&gt;0,E642/$C$624,"")</f>
        <v>0</v>
      </c>
      <c r="H642" s="10"/>
    </row>
    <row r="643" spans="1:9">
      <c r="A643" s="11" t="s">
        <v>1605</v>
      </c>
      <c r="B643" s="7">
        <f>'Yard'!$Q$42</f>
        <v>0</v>
      </c>
      <c r="C643" s="9"/>
      <c r="D643" s="7">
        <f>'Reactive'!$Q$77</f>
        <v>0</v>
      </c>
      <c r="E643" s="17">
        <f>0.01*'Input'!$F$58*(C643*$C$624)+10*(B643*$B$624+D643*$D$624)</f>
        <v>0</v>
      </c>
      <c r="F643" s="6">
        <f>IF($E$624&lt;&gt;0,0.1*E643/$E$624,"")</f>
        <v>0</v>
      </c>
      <c r="G643" s="35">
        <f>IF($C$624&lt;&gt;0,E643/$C$624,"")</f>
        <v>0</v>
      </c>
      <c r="H643" s="10"/>
    </row>
    <row r="644" spans="1:9">
      <c r="A644" s="11" t="s">
        <v>1606</v>
      </c>
      <c r="B644" s="7">
        <f>'Yard'!$R$42</f>
        <v>0</v>
      </c>
      <c r="C644" s="9"/>
      <c r="D644" s="7">
        <f>'Reactive'!$R$77</f>
        <v>0</v>
      </c>
      <c r="E644" s="17">
        <f>0.01*'Input'!$F$58*(C644*$C$624)+10*(B644*$B$624+D644*$D$624)</f>
        <v>0</v>
      </c>
      <c r="F644" s="6">
        <f>IF($E$624&lt;&gt;0,0.1*E644/$E$624,"")</f>
        <v>0</v>
      </c>
      <c r="G644" s="35">
        <f>IF($C$624&lt;&gt;0,E644/$C$624,"")</f>
        <v>0</v>
      </c>
      <c r="H644" s="10"/>
    </row>
    <row r="645" spans="1:9">
      <c r="A645" s="11" t="s">
        <v>1607</v>
      </c>
      <c r="B645" s="7">
        <f>'Yard'!$S$42</f>
        <v>0</v>
      </c>
      <c r="C645" s="9"/>
      <c r="D645" s="7">
        <f>'Reactive'!$S$77</f>
        <v>0</v>
      </c>
      <c r="E645" s="17">
        <f>0.01*'Input'!$F$58*(C645*$C$624)+10*(B645*$B$624+D645*$D$624)</f>
        <v>0</v>
      </c>
      <c r="F645" s="6">
        <f>IF($E$624&lt;&gt;0,0.1*E645/$E$624,"")</f>
        <v>0</v>
      </c>
      <c r="G645" s="35">
        <f>IF($C$624&lt;&gt;0,E645/$C$624,"")</f>
        <v>0</v>
      </c>
      <c r="H645" s="10"/>
    </row>
    <row r="646" spans="1:9">
      <c r="A646" s="11" t="s">
        <v>1608</v>
      </c>
      <c r="B646" s="9"/>
      <c r="C646" s="37">
        <f>'Otex'!$B$140</f>
        <v>0</v>
      </c>
      <c r="D646" s="9"/>
      <c r="E646" s="17">
        <f>0.01*'Input'!$F$58*(C646*$C$624)+10*(B646*$B$624+D646*$D$624)</f>
        <v>0</v>
      </c>
      <c r="F646" s="6">
        <f>IF($E$624&lt;&gt;0,0.1*E646/$E$624,"")</f>
        <v>0</v>
      </c>
      <c r="G646" s="35">
        <f>IF($C$624&lt;&gt;0,E646/$C$624,"")</f>
        <v>0</v>
      </c>
      <c r="H646" s="10"/>
    </row>
    <row r="647" spans="1:9">
      <c r="A647" s="11" t="s">
        <v>1609</v>
      </c>
      <c r="B647" s="9"/>
      <c r="C647" s="37">
        <f>'Otex'!$C$140</f>
        <v>0</v>
      </c>
      <c r="D647" s="9"/>
      <c r="E647" s="17">
        <f>0.01*'Input'!$F$58*(C647*$C$624)+10*(B647*$B$624+D647*$D$624)</f>
        <v>0</v>
      </c>
      <c r="F647" s="6">
        <f>IF($E$624&lt;&gt;0,0.1*E647/$E$624,"")</f>
        <v>0</v>
      </c>
      <c r="G647" s="35">
        <f>IF($C$624&lt;&gt;0,E647/$C$624,"")</f>
        <v>0</v>
      </c>
      <c r="H647" s="10"/>
    </row>
    <row r="648" spans="1:9">
      <c r="A648" s="11" t="s">
        <v>1610</v>
      </c>
      <c r="B648" s="7">
        <f>'Adder'!$B$761</f>
        <v>0</v>
      </c>
      <c r="C648" s="37">
        <f>'Adder'!$E$761</f>
        <v>0</v>
      </c>
      <c r="D648" s="7">
        <f>'Adder'!$G$761</f>
        <v>0</v>
      </c>
      <c r="E648" s="17">
        <f>0.01*'Input'!$F$58*(C648*$C$624)+10*(B648*$B$624+D648*$D$624)</f>
        <v>0</v>
      </c>
      <c r="F648" s="6">
        <f>IF($E$624&lt;&gt;0,0.1*E648/$E$624,"")</f>
        <v>0</v>
      </c>
      <c r="G648" s="35">
        <f>IF($C$624&lt;&gt;0,E648/$C$624,"")</f>
        <v>0</v>
      </c>
      <c r="H648" s="10"/>
    </row>
    <row r="649" spans="1:9">
      <c r="A649" s="11" t="s">
        <v>1611</v>
      </c>
      <c r="B649" s="7">
        <f>'Adjust'!$B$89</f>
        <v>0</v>
      </c>
      <c r="C649" s="37">
        <f>'Adjust'!$E$89</f>
        <v>0</v>
      </c>
      <c r="D649" s="7">
        <f>'Adjust'!$G$89</f>
        <v>0</v>
      </c>
      <c r="E649" s="17">
        <f>0.01*'Input'!$F$58*(C649*$C$624)+10*(B649*$B$624+D649*$D$624)</f>
        <v>0</v>
      </c>
      <c r="F649" s="6">
        <f>IF($E$624&lt;&gt;0,0.1*E649/$E$624,"")</f>
        <v>0</v>
      </c>
      <c r="G649" s="35">
        <f>IF($C$624&lt;&gt;0,E649/$C$624,"")</f>
        <v>0</v>
      </c>
      <c r="H649" s="10"/>
    </row>
    <row r="651" spans="1:9">
      <c r="A651" s="11" t="s">
        <v>1612</v>
      </c>
      <c r="B651" s="6">
        <f>SUM($B$627:$B$649)</f>
        <v>0</v>
      </c>
      <c r="C651" s="35">
        <f>SUM($C$627:$C$649)</f>
        <v>0</v>
      </c>
      <c r="D651" s="6">
        <f>SUM($D$627:$D$649)</f>
        <v>0</v>
      </c>
      <c r="E651" s="17">
        <f>SUM($E$627:$E$649)</f>
        <v>0</v>
      </c>
      <c r="F651" s="6">
        <f>SUM($F$627:$F$649)</f>
        <v>0</v>
      </c>
      <c r="G651" s="35">
        <f>SUM($G$627:$G$649)</f>
        <v>0</v>
      </c>
    </row>
    <row r="653" spans="1:9">
      <c r="A653" s="1" t="s">
        <v>183</v>
      </c>
    </row>
    <row r="655" spans="1:9">
      <c r="B655" s="3" t="s">
        <v>221</v>
      </c>
      <c r="C655" s="3" t="s">
        <v>222</v>
      </c>
      <c r="D655" s="3" t="s">
        <v>223</v>
      </c>
      <c r="E655" s="3" t="s">
        <v>224</v>
      </c>
      <c r="F655" s="3" t="s">
        <v>226</v>
      </c>
      <c r="G655" s="3" t="s">
        <v>1593</v>
      </c>
      <c r="H655" s="3" t="s">
        <v>1594</v>
      </c>
    </row>
    <row r="656" spans="1:9">
      <c r="A656" s="11" t="s">
        <v>183</v>
      </c>
      <c r="B656" s="33">
        <f>'Loads'!B$302</f>
        <v>0</v>
      </c>
      <c r="C656" s="33">
        <f>'Loads'!C$302</f>
        <v>0</v>
      </c>
      <c r="D656" s="33">
        <f>'Loads'!D$302</f>
        <v>0</v>
      </c>
      <c r="E656" s="33">
        <f>'Loads'!E$302</f>
        <v>0</v>
      </c>
      <c r="F656" s="33">
        <f>'Loads'!G$302</f>
        <v>0</v>
      </c>
      <c r="G656" s="33">
        <f>'Multi'!B$129</f>
        <v>0</v>
      </c>
      <c r="H656" s="6">
        <f>IF(E656,G656/E656,"")</f>
        <v>0</v>
      </c>
      <c r="I656" s="10"/>
    </row>
    <row r="658" spans="1:11">
      <c r="B658" s="3" t="s">
        <v>1416</v>
      </c>
      <c r="C658" s="3" t="s">
        <v>1417</v>
      </c>
      <c r="D658" s="3" t="s">
        <v>1418</v>
      </c>
      <c r="E658" s="3" t="s">
        <v>1419</v>
      </c>
      <c r="F658" s="3" t="s">
        <v>1047</v>
      </c>
      <c r="G658" s="3" t="s">
        <v>1613</v>
      </c>
      <c r="H658" s="3" t="s">
        <v>1595</v>
      </c>
      <c r="I658" s="3" t="s">
        <v>1565</v>
      </c>
      <c r="J658" s="3" t="s">
        <v>1596</v>
      </c>
    </row>
    <row r="659" spans="1:11">
      <c r="A659" s="11" t="s">
        <v>449</v>
      </c>
      <c r="B659" s="7">
        <f>'Yard'!$C$69</f>
        <v>0</v>
      </c>
      <c r="C659" s="7">
        <f>'Yard'!$C$96</f>
        <v>0</v>
      </c>
      <c r="D659" s="7">
        <f>'Yard'!$C$114</f>
        <v>0</v>
      </c>
      <c r="E659" s="9"/>
      <c r="F659" s="7">
        <f>'Reactive'!$C$78</f>
        <v>0</v>
      </c>
      <c r="G659" s="6">
        <f>IF(G$656&lt;&gt;0,(($B659*B$656+$C659*C$656+$D659*D$656+$F659*F$656))/G$656,0)</f>
        <v>0</v>
      </c>
      <c r="H659" s="17">
        <f>0.01*'Input'!$F$58*(E659*$E$656)+10*(B659*$B$656+C659*$C$656+D659*$D$656+F659*$F$656)</f>
        <v>0</v>
      </c>
      <c r="I659" s="6">
        <f>IF($G$656&lt;&gt;0,0.1*H659/$G$656,"")</f>
        <v>0</v>
      </c>
      <c r="J659" s="35">
        <f>IF($E$656&lt;&gt;0,H659/$E$656,"")</f>
        <v>0</v>
      </c>
      <c r="K659" s="10"/>
    </row>
    <row r="660" spans="1:11">
      <c r="A660" s="11" t="s">
        <v>450</v>
      </c>
      <c r="B660" s="7">
        <f>'Yard'!$D$69</f>
        <v>0</v>
      </c>
      <c r="C660" s="7">
        <f>'Yard'!$D$96</f>
        <v>0</v>
      </c>
      <c r="D660" s="7">
        <f>'Yard'!$D$114</f>
        <v>0</v>
      </c>
      <c r="E660" s="9"/>
      <c r="F660" s="7">
        <f>'Reactive'!$D$78</f>
        <v>0</v>
      </c>
      <c r="G660" s="6">
        <f>IF(G$656&lt;&gt;0,(($B660*B$656+$C660*C$656+$D660*D$656+$F660*F$656))/G$656,0)</f>
        <v>0</v>
      </c>
      <c r="H660" s="17">
        <f>0.01*'Input'!$F$58*(E660*$E$656)+10*(B660*$B$656+C660*$C$656+D660*$D$656+F660*$F$656)</f>
        <v>0</v>
      </c>
      <c r="I660" s="6">
        <f>IF($G$656&lt;&gt;0,0.1*H660/$G$656,"")</f>
        <v>0</v>
      </c>
      <c r="J660" s="35">
        <f>IF($E$656&lt;&gt;0,H660/$E$656,"")</f>
        <v>0</v>
      </c>
      <c r="K660" s="10"/>
    </row>
    <row r="661" spans="1:11">
      <c r="A661" s="11" t="s">
        <v>451</v>
      </c>
      <c r="B661" s="7">
        <f>'Yard'!$E$69</f>
        <v>0</v>
      </c>
      <c r="C661" s="7">
        <f>'Yard'!$E$96</f>
        <v>0</v>
      </c>
      <c r="D661" s="7">
        <f>'Yard'!$E$114</f>
        <v>0</v>
      </c>
      <c r="E661" s="9"/>
      <c r="F661" s="7">
        <f>'Reactive'!$E$78</f>
        <v>0</v>
      </c>
      <c r="G661" s="6">
        <f>IF(G$656&lt;&gt;0,(($B661*B$656+$C661*C$656+$D661*D$656+$F661*F$656))/G$656,0)</f>
        <v>0</v>
      </c>
      <c r="H661" s="17">
        <f>0.01*'Input'!$F$58*(E661*$E$656)+10*(B661*$B$656+C661*$C$656+D661*$D$656+F661*$F$656)</f>
        <v>0</v>
      </c>
      <c r="I661" s="6">
        <f>IF($G$656&lt;&gt;0,0.1*H661/$G$656,"")</f>
        <v>0</v>
      </c>
      <c r="J661" s="35">
        <f>IF($E$656&lt;&gt;0,H661/$E$656,"")</f>
        <v>0</v>
      </c>
      <c r="K661" s="10"/>
    </row>
    <row r="662" spans="1:11">
      <c r="A662" s="11" t="s">
        <v>452</v>
      </c>
      <c r="B662" s="7">
        <f>'Yard'!$F$69</f>
        <v>0</v>
      </c>
      <c r="C662" s="7">
        <f>'Yard'!$F$96</f>
        <v>0</v>
      </c>
      <c r="D662" s="7">
        <f>'Yard'!$F$114</f>
        <v>0</v>
      </c>
      <c r="E662" s="9"/>
      <c r="F662" s="7">
        <f>'Reactive'!$F$78</f>
        <v>0</v>
      </c>
      <c r="G662" s="6">
        <f>IF(G$656&lt;&gt;0,(($B662*B$656+$C662*C$656+$D662*D$656+$F662*F$656))/G$656,0)</f>
        <v>0</v>
      </c>
      <c r="H662" s="17">
        <f>0.01*'Input'!$F$58*(E662*$E$656)+10*(B662*$B$656+C662*$C$656+D662*$D$656+F662*$F$656)</f>
        <v>0</v>
      </c>
      <c r="I662" s="6">
        <f>IF($G$656&lt;&gt;0,0.1*H662/$G$656,"")</f>
        <v>0</v>
      </c>
      <c r="J662" s="35">
        <f>IF($E$656&lt;&gt;0,H662/$E$656,"")</f>
        <v>0</v>
      </c>
      <c r="K662" s="10"/>
    </row>
    <row r="663" spans="1:11">
      <c r="A663" s="11" t="s">
        <v>453</v>
      </c>
      <c r="B663" s="7">
        <f>'Yard'!$G$69</f>
        <v>0</v>
      </c>
      <c r="C663" s="7">
        <f>'Yard'!$G$96</f>
        <v>0</v>
      </c>
      <c r="D663" s="7">
        <f>'Yard'!$G$114</f>
        <v>0</v>
      </c>
      <c r="E663" s="9"/>
      <c r="F663" s="7">
        <f>'Reactive'!$G$78</f>
        <v>0</v>
      </c>
      <c r="G663" s="6">
        <f>IF(G$656&lt;&gt;0,(($B663*B$656+$C663*C$656+$D663*D$656+$F663*F$656))/G$656,0)</f>
        <v>0</v>
      </c>
      <c r="H663" s="17">
        <f>0.01*'Input'!$F$58*(E663*$E$656)+10*(B663*$B$656+C663*$C$656+D663*$D$656+F663*$F$656)</f>
        <v>0</v>
      </c>
      <c r="I663" s="6">
        <f>IF($G$656&lt;&gt;0,0.1*H663/$G$656,"")</f>
        <v>0</v>
      </c>
      <c r="J663" s="35">
        <f>IF($E$656&lt;&gt;0,H663/$E$656,"")</f>
        <v>0</v>
      </c>
      <c r="K663" s="10"/>
    </row>
    <row r="664" spans="1:11">
      <c r="A664" s="11" t="s">
        <v>454</v>
      </c>
      <c r="B664" s="7">
        <f>'Yard'!$H$69</f>
        <v>0</v>
      </c>
      <c r="C664" s="7">
        <f>'Yard'!$H$96</f>
        <v>0</v>
      </c>
      <c r="D664" s="7">
        <f>'Yard'!$H$114</f>
        <v>0</v>
      </c>
      <c r="E664" s="9"/>
      <c r="F664" s="7">
        <f>'Reactive'!$H$78</f>
        <v>0</v>
      </c>
      <c r="G664" s="6">
        <f>IF(G$656&lt;&gt;0,(($B664*B$656+$C664*C$656+$D664*D$656+$F664*F$656))/G$656,0)</f>
        <v>0</v>
      </c>
      <c r="H664" s="17">
        <f>0.01*'Input'!$F$58*(E664*$E$656)+10*(B664*$B$656+C664*$C$656+D664*$D$656+F664*$F$656)</f>
        <v>0</v>
      </c>
      <c r="I664" s="6">
        <f>IF($G$656&lt;&gt;0,0.1*H664/$G$656,"")</f>
        <v>0</v>
      </c>
      <c r="J664" s="35">
        <f>IF($E$656&lt;&gt;0,H664/$E$656,"")</f>
        <v>0</v>
      </c>
      <c r="K664" s="10"/>
    </row>
    <row r="665" spans="1:11">
      <c r="A665" s="11" t="s">
        <v>455</v>
      </c>
      <c r="B665" s="7">
        <f>'Yard'!$I$69</f>
        <v>0</v>
      </c>
      <c r="C665" s="7">
        <f>'Yard'!$I$96</f>
        <v>0</v>
      </c>
      <c r="D665" s="7">
        <f>'Yard'!$I$114</f>
        <v>0</v>
      </c>
      <c r="E665" s="9"/>
      <c r="F665" s="7">
        <f>'Reactive'!$I$78</f>
        <v>0</v>
      </c>
      <c r="G665" s="6">
        <f>IF(G$656&lt;&gt;0,(($B665*B$656+$C665*C$656+$D665*D$656+$F665*F$656))/G$656,0)</f>
        <v>0</v>
      </c>
      <c r="H665" s="17">
        <f>0.01*'Input'!$F$58*(E665*$E$656)+10*(B665*$B$656+C665*$C$656+D665*$D$656+F665*$F$656)</f>
        <v>0</v>
      </c>
      <c r="I665" s="6">
        <f>IF($G$656&lt;&gt;0,0.1*H665/$G$656,"")</f>
        <v>0</v>
      </c>
      <c r="J665" s="35">
        <f>IF($E$656&lt;&gt;0,H665/$E$656,"")</f>
        <v>0</v>
      </c>
      <c r="K665" s="10"/>
    </row>
    <row r="666" spans="1:11">
      <c r="A666" s="11" t="s">
        <v>456</v>
      </c>
      <c r="B666" s="7">
        <f>'Yard'!$J$69</f>
        <v>0</v>
      </c>
      <c r="C666" s="7">
        <f>'Yard'!$J$96</f>
        <v>0</v>
      </c>
      <c r="D666" s="7">
        <f>'Yard'!$J$114</f>
        <v>0</v>
      </c>
      <c r="E666" s="9"/>
      <c r="F666" s="7">
        <f>'Reactive'!$J$78</f>
        <v>0</v>
      </c>
      <c r="G666" s="6">
        <f>IF(G$656&lt;&gt;0,(($B666*B$656+$C666*C$656+$D666*D$656+$F666*F$656))/G$656,0)</f>
        <v>0</v>
      </c>
      <c r="H666" s="17">
        <f>0.01*'Input'!$F$58*(E666*$E$656)+10*(B666*$B$656+C666*$C$656+D666*$D$656+F666*$F$656)</f>
        <v>0</v>
      </c>
      <c r="I666" s="6">
        <f>IF($G$656&lt;&gt;0,0.1*H666/$G$656,"")</f>
        <v>0</v>
      </c>
      <c r="J666" s="35">
        <f>IF($E$656&lt;&gt;0,H666/$E$656,"")</f>
        <v>0</v>
      </c>
      <c r="K666" s="10"/>
    </row>
    <row r="667" spans="1:11">
      <c r="A667" s="11" t="s">
        <v>1597</v>
      </c>
      <c r="B667" s="9"/>
      <c r="C667" s="9"/>
      <c r="D667" s="9"/>
      <c r="E667" s="37">
        <f>'SM'!$B$122</f>
        <v>0</v>
      </c>
      <c r="F667" s="9"/>
      <c r="G667" s="6">
        <f>IF(G$656&lt;&gt;0,(($B667*B$656+$C667*C$656+$D667*D$656+$F667*F$656))/G$656,0)</f>
        <v>0</v>
      </c>
      <c r="H667" s="17">
        <f>0.01*'Input'!$F$58*(E667*$E$656)+10*(B667*$B$656+C667*$C$656+D667*$D$656+F667*$F$656)</f>
        <v>0</v>
      </c>
      <c r="I667" s="6">
        <f>IF($G$656&lt;&gt;0,0.1*H667/$G$656,"")</f>
        <v>0</v>
      </c>
      <c r="J667" s="35">
        <f>IF($E$656&lt;&gt;0,H667/$E$656,"")</f>
        <v>0</v>
      </c>
      <c r="K667" s="10"/>
    </row>
    <row r="668" spans="1:11">
      <c r="A668" s="11" t="s">
        <v>1598</v>
      </c>
      <c r="B668" s="9"/>
      <c r="C668" s="9"/>
      <c r="D668" s="9"/>
      <c r="E668" s="37">
        <f>'SM'!$C$122</f>
        <v>0</v>
      </c>
      <c r="F668" s="9"/>
      <c r="G668" s="6">
        <f>IF(G$656&lt;&gt;0,(($B668*B$656+$C668*C$656+$D668*D$656+$F668*F$656))/G$656,0)</f>
        <v>0</v>
      </c>
      <c r="H668" s="17">
        <f>0.01*'Input'!$F$58*(E668*$E$656)+10*(B668*$B$656+C668*$C$656+D668*$D$656+F668*$F$656)</f>
        <v>0</v>
      </c>
      <c r="I668" s="6">
        <f>IF($G$656&lt;&gt;0,0.1*H668/$G$656,"")</f>
        <v>0</v>
      </c>
      <c r="J668" s="35">
        <f>IF($E$656&lt;&gt;0,H668/$E$656,"")</f>
        <v>0</v>
      </c>
      <c r="K668" s="10"/>
    </row>
    <row r="669" spans="1:11">
      <c r="A669" s="11" t="s">
        <v>1599</v>
      </c>
      <c r="B669" s="7">
        <f>'Yard'!$K$69</f>
        <v>0</v>
      </c>
      <c r="C669" s="7">
        <f>'Yard'!$K$96</f>
        <v>0</v>
      </c>
      <c r="D669" s="7">
        <f>'Yard'!$K$114</f>
        <v>0</v>
      </c>
      <c r="E669" s="9"/>
      <c r="F669" s="7">
        <f>'Reactive'!$K$78</f>
        <v>0</v>
      </c>
      <c r="G669" s="6">
        <f>IF(G$656&lt;&gt;0,(($B669*B$656+$C669*C$656+$D669*D$656+$F669*F$656))/G$656,0)</f>
        <v>0</v>
      </c>
      <c r="H669" s="17">
        <f>0.01*'Input'!$F$58*(E669*$E$656)+10*(B669*$B$656+C669*$C$656+D669*$D$656+F669*$F$656)</f>
        <v>0</v>
      </c>
      <c r="I669" s="6">
        <f>IF($G$656&lt;&gt;0,0.1*H669/$G$656,"")</f>
        <v>0</v>
      </c>
      <c r="J669" s="35">
        <f>IF($E$656&lt;&gt;0,H669/$E$656,"")</f>
        <v>0</v>
      </c>
      <c r="K669" s="10"/>
    </row>
    <row r="670" spans="1:11">
      <c r="A670" s="11" t="s">
        <v>1600</v>
      </c>
      <c r="B670" s="7">
        <f>'Yard'!$L$69</f>
        <v>0</v>
      </c>
      <c r="C670" s="7">
        <f>'Yard'!$L$96</f>
        <v>0</v>
      </c>
      <c r="D670" s="7">
        <f>'Yard'!$L$114</f>
        <v>0</v>
      </c>
      <c r="E670" s="9"/>
      <c r="F670" s="7">
        <f>'Reactive'!$L$78</f>
        <v>0</v>
      </c>
      <c r="G670" s="6">
        <f>IF(G$656&lt;&gt;0,(($B670*B$656+$C670*C$656+$D670*D$656+$F670*F$656))/G$656,0)</f>
        <v>0</v>
      </c>
      <c r="H670" s="17">
        <f>0.01*'Input'!$F$58*(E670*$E$656)+10*(B670*$B$656+C670*$C$656+D670*$D$656+F670*$F$656)</f>
        <v>0</v>
      </c>
      <c r="I670" s="6">
        <f>IF($G$656&lt;&gt;0,0.1*H670/$G$656,"")</f>
        <v>0</v>
      </c>
      <c r="J670" s="35">
        <f>IF($E$656&lt;&gt;0,H670/$E$656,"")</f>
        <v>0</v>
      </c>
      <c r="K670" s="10"/>
    </row>
    <row r="671" spans="1:11">
      <c r="A671" s="11" t="s">
        <v>1601</v>
      </c>
      <c r="B671" s="7">
        <f>'Yard'!$M$69</f>
        <v>0</v>
      </c>
      <c r="C671" s="7">
        <f>'Yard'!$M$96</f>
        <v>0</v>
      </c>
      <c r="D671" s="7">
        <f>'Yard'!$M$114</f>
        <v>0</v>
      </c>
      <c r="E671" s="9"/>
      <c r="F671" s="7">
        <f>'Reactive'!$M$78</f>
        <v>0</v>
      </c>
      <c r="G671" s="6">
        <f>IF(G$656&lt;&gt;0,(($B671*B$656+$C671*C$656+$D671*D$656+$F671*F$656))/G$656,0)</f>
        <v>0</v>
      </c>
      <c r="H671" s="17">
        <f>0.01*'Input'!$F$58*(E671*$E$656)+10*(B671*$B$656+C671*$C$656+D671*$D$656+F671*$F$656)</f>
        <v>0</v>
      </c>
      <c r="I671" s="6">
        <f>IF($G$656&lt;&gt;0,0.1*H671/$G$656,"")</f>
        <v>0</v>
      </c>
      <c r="J671" s="35">
        <f>IF($E$656&lt;&gt;0,H671/$E$656,"")</f>
        <v>0</v>
      </c>
      <c r="K671" s="10"/>
    </row>
    <row r="672" spans="1:11">
      <c r="A672" s="11" t="s">
        <v>1602</v>
      </c>
      <c r="B672" s="7">
        <f>'Yard'!$N$69</f>
        <v>0</v>
      </c>
      <c r="C672" s="7">
        <f>'Yard'!$N$96</f>
        <v>0</v>
      </c>
      <c r="D672" s="7">
        <f>'Yard'!$N$114</f>
        <v>0</v>
      </c>
      <c r="E672" s="9"/>
      <c r="F672" s="7">
        <f>'Reactive'!$N$78</f>
        <v>0</v>
      </c>
      <c r="G672" s="6">
        <f>IF(G$656&lt;&gt;0,(($B672*B$656+$C672*C$656+$D672*D$656+$F672*F$656))/G$656,0)</f>
        <v>0</v>
      </c>
      <c r="H672" s="17">
        <f>0.01*'Input'!$F$58*(E672*$E$656)+10*(B672*$B$656+C672*$C$656+D672*$D$656+F672*$F$656)</f>
        <v>0</v>
      </c>
      <c r="I672" s="6">
        <f>IF($G$656&lt;&gt;0,0.1*H672/$G$656,"")</f>
        <v>0</v>
      </c>
      <c r="J672" s="35">
        <f>IF($E$656&lt;&gt;0,H672/$E$656,"")</f>
        <v>0</v>
      </c>
      <c r="K672" s="10"/>
    </row>
    <row r="673" spans="1:11">
      <c r="A673" s="11" t="s">
        <v>1603</v>
      </c>
      <c r="B673" s="7">
        <f>'Yard'!$O$69</f>
        <v>0</v>
      </c>
      <c r="C673" s="7">
        <f>'Yard'!$O$96</f>
        <v>0</v>
      </c>
      <c r="D673" s="7">
        <f>'Yard'!$O$114</f>
        <v>0</v>
      </c>
      <c r="E673" s="9"/>
      <c r="F673" s="7">
        <f>'Reactive'!$O$78</f>
        <v>0</v>
      </c>
      <c r="G673" s="6">
        <f>IF(G$656&lt;&gt;0,(($B673*B$656+$C673*C$656+$D673*D$656+$F673*F$656))/G$656,0)</f>
        <v>0</v>
      </c>
      <c r="H673" s="17">
        <f>0.01*'Input'!$F$58*(E673*$E$656)+10*(B673*$B$656+C673*$C$656+D673*$D$656+F673*$F$656)</f>
        <v>0</v>
      </c>
      <c r="I673" s="6">
        <f>IF($G$656&lt;&gt;0,0.1*H673/$G$656,"")</f>
        <v>0</v>
      </c>
      <c r="J673" s="35">
        <f>IF($E$656&lt;&gt;0,H673/$E$656,"")</f>
        <v>0</v>
      </c>
      <c r="K673" s="10"/>
    </row>
    <row r="674" spans="1:11">
      <c r="A674" s="11" t="s">
        <v>1604</v>
      </c>
      <c r="B674" s="7">
        <f>'Yard'!$P$69</f>
        <v>0</v>
      </c>
      <c r="C674" s="7">
        <f>'Yard'!$P$96</f>
        <v>0</v>
      </c>
      <c r="D674" s="7">
        <f>'Yard'!$P$114</f>
        <v>0</v>
      </c>
      <c r="E674" s="9"/>
      <c r="F674" s="7">
        <f>'Reactive'!$P$78</f>
        <v>0</v>
      </c>
      <c r="G674" s="6">
        <f>IF(G$656&lt;&gt;0,(($B674*B$656+$C674*C$656+$D674*D$656+$F674*F$656))/G$656,0)</f>
        <v>0</v>
      </c>
      <c r="H674" s="17">
        <f>0.01*'Input'!$F$58*(E674*$E$656)+10*(B674*$B$656+C674*$C$656+D674*$D$656+F674*$F$656)</f>
        <v>0</v>
      </c>
      <c r="I674" s="6">
        <f>IF($G$656&lt;&gt;0,0.1*H674/$G$656,"")</f>
        <v>0</v>
      </c>
      <c r="J674" s="35">
        <f>IF($E$656&lt;&gt;0,H674/$E$656,"")</f>
        <v>0</v>
      </c>
      <c r="K674" s="10"/>
    </row>
    <row r="675" spans="1:11">
      <c r="A675" s="11" t="s">
        <v>1605</v>
      </c>
      <c r="B675" s="7">
        <f>'Yard'!$Q$69</f>
        <v>0</v>
      </c>
      <c r="C675" s="7">
        <f>'Yard'!$Q$96</f>
        <v>0</v>
      </c>
      <c r="D675" s="7">
        <f>'Yard'!$Q$114</f>
        <v>0</v>
      </c>
      <c r="E675" s="9"/>
      <c r="F675" s="7">
        <f>'Reactive'!$Q$78</f>
        <v>0</v>
      </c>
      <c r="G675" s="6">
        <f>IF(G$656&lt;&gt;0,(($B675*B$656+$C675*C$656+$D675*D$656+$F675*F$656))/G$656,0)</f>
        <v>0</v>
      </c>
      <c r="H675" s="17">
        <f>0.01*'Input'!$F$58*(E675*$E$656)+10*(B675*$B$656+C675*$C$656+D675*$D$656+F675*$F$656)</f>
        <v>0</v>
      </c>
      <c r="I675" s="6">
        <f>IF($G$656&lt;&gt;0,0.1*H675/$G$656,"")</f>
        <v>0</v>
      </c>
      <c r="J675" s="35">
        <f>IF($E$656&lt;&gt;0,H675/$E$656,"")</f>
        <v>0</v>
      </c>
      <c r="K675" s="10"/>
    </row>
    <row r="676" spans="1:11">
      <c r="A676" s="11" t="s">
        <v>1606</v>
      </c>
      <c r="B676" s="7">
        <f>'Yard'!$R$69</f>
        <v>0</v>
      </c>
      <c r="C676" s="7">
        <f>'Yard'!$R$96</f>
        <v>0</v>
      </c>
      <c r="D676" s="7">
        <f>'Yard'!$R$114</f>
        <v>0</v>
      </c>
      <c r="E676" s="9"/>
      <c r="F676" s="7">
        <f>'Reactive'!$R$78</f>
        <v>0</v>
      </c>
      <c r="G676" s="6">
        <f>IF(G$656&lt;&gt;0,(($B676*B$656+$C676*C$656+$D676*D$656+$F676*F$656))/G$656,0)</f>
        <v>0</v>
      </c>
      <c r="H676" s="17">
        <f>0.01*'Input'!$F$58*(E676*$E$656)+10*(B676*$B$656+C676*$C$656+D676*$D$656+F676*$F$656)</f>
        <v>0</v>
      </c>
      <c r="I676" s="6">
        <f>IF($G$656&lt;&gt;0,0.1*H676/$G$656,"")</f>
        <v>0</v>
      </c>
      <c r="J676" s="35">
        <f>IF($E$656&lt;&gt;0,H676/$E$656,"")</f>
        <v>0</v>
      </c>
      <c r="K676" s="10"/>
    </row>
    <row r="677" spans="1:11">
      <c r="A677" s="11" t="s">
        <v>1607</v>
      </c>
      <c r="B677" s="7">
        <f>'Yard'!$S$69</f>
        <v>0</v>
      </c>
      <c r="C677" s="7">
        <f>'Yard'!$S$96</f>
        <v>0</v>
      </c>
      <c r="D677" s="7">
        <f>'Yard'!$S$114</f>
        <v>0</v>
      </c>
      <c r="E677" s="9"/>
      <c r="F677" s="7">
        <f>'Reactive'!$S$78</f>
        <v>0</v>
      </c>
      <c r="G677" s="6">
        <f>IF(G$656&lt;&gt;0,(($B677*B$656+$C677*C$656+$D677*D$656+$F677*F$656))/G$656,0)</f>
        <v>0</v>
      </c>
      <c r="H677" s="17">
        <f>0.01*'Input'!$F$58*(E677*$E$656)+10*(B677*$B$656+C677*$C$656+D677*$D$656+F677*$F$656)</f>
        <v>0</v>
      </c>
      <c r="I677" s="6">
        <f>IF($G$656&lt;&gt;0,0.1*H677/$G$656,"")</f>
        <v>0</v>
      </c>
      <c r="J677" s="35">
        <f>IF($E$656&lt;&gt;0,H677/$E$656,"")</f>
        <v>0</v>
      </c>
      <c r="K677" s="10"/>
    </row>
    <row r="678" spans="1:11">
      <c r="A678" s="11" t="s">
        <v>1608</v>
      </c>
      <c r="B678" s="9"/>
      <c r="C678" s="9"/>
      <c r="D678" s="9"/>
      <c r="E678" s="37">
        <f>'Otex'!$B$141</f>
        <v>0</v>
      </c>
      <c r="F678" s="9"/>
      <c r="G678" s="6">
        <f>IF(G$656&lt;&gt;0,(($B678*B$656+$C678*C$656+$D678*D$656+$F678*F$656))/G$656,0)</f>
        <v>0</v>
      </c>
      <c r="H678" s="17">
        <f>0.01*'Input'!$F$58*(E678*$E$656)+10*(B678*$B$656+C678*$C$656+D678*$D$656+F678*$F$656)</f>
        <v>0</v>
      </c>
      <c r="I678" s="6">
        <f>IF($G$656&lt;&gt;0,0.1*H678/$G$656,"")</f>
        <v>0</v>
      </c>
      <c r="J678" s="35">
        <f>IF($E$656&lt;&gt;0,H678/$E$656,"")</f>
        <v>0</v>
      </c>
      <c r="K678" s="10"/>
    </row>
    <row r="679" spans="1:11">
      <c r="A679" s="11" t="s">
        <v>1609</v>
      </c>
      <c r="B679" s="9"/>
      <c r="C679" s="9"/>
      <c r="D679" s="9"/>
      <c r="E679" s="37">
        <f>'Otex'!$C$141</f>
        <v>0</v>
      </c>
      <c r="F679" s="9"/>
      <c r="G679" s="6">
        <f>IF(G$656&lt;&gt;0,(($B679*B$656+$C679*C$656+$D679*D$656+$F679*F$656))/G$656,0)</f>
        <v>0</v>
      </c>
      <c r="H679" s="17">
        <f>0.01*'Input'!$F$58*(E679*$E$656)+10*(B679*$B$656+C679*$C$656+D679*$D$656+F679*$F$656)</f>
        <v>0</v>
      </c>
      <c r="I679" s="6">
        <f>IF($G$656&lt;&gt;0,0.1*H679/$G$656,"")</f>
        <v>0</v>
      </c>
      <c r="J679" s="35">
        <f>IF($E$656&lt;&gt;0,H679/$E$656,"")</f>
        <v>0</v>
      </c>
      <c r="K679" s="10"/>
    </row>
    <row r="680" spans="1:11">
      <c r="A680" s="11" t="s">
        <v>1610</v>
      </c>
      <c r="B680" s="7">
        <f>'Adder'!$B$762</f>
        <v>0</v>
      </c>
      <c r="C680" s="7">
        <f>'Adder'!$C$762</f>
        <v>0</v>
      </c>
      <c r="D680" s="7">
        <f>'Adder'!$D$762</f>
        <v>0</v>
      </c>
      <c r="E680" s="37">
        <f>'Adder'!$E$762</f>
        <v>0</v>
      </c>
      <c r="F680" s="7">
        <f>'Adder'!$G$762</f>
        <v>0</v>
      </c>
      <c r="G680" s="6">
        <f>IF(G$656&lt;&gt;0,(($B680*B$656+$C680*C$656+$D680*D$656+$F680*F$656))/G$656,0)</f>
        <v>0</v>
      </c>
      <c r="H680" s="17">
        <f>0.01*'Input'!$F$58*(E680*$E$656)+10*(B680*$B$656+C680*$C$656+D680*$D$656+F680*$F$656)</f>
        <v>0</v>
      </c>
      <c r="I680" s="6">
        <f>IF($G$656&lt;&gt;0,0.1*H680/$G$656,"")</f>
        <v>0</v>
      </c>
      <c r="J680" s="35">
        <f>IF($E$656&lt;&gt;0,H680/$E$656,"")</f>
        <v>0</v>
      </c>
      <c r="K680" s="10"/>
    </row>
    <row r="681" spans="1:11">
      <c r="A681" s="11" t="s">
        <v>1611</v>
      </c>
      <c r="B681" s="7">
        <f>'Adjust'!$B$90</f>
        <v>0</v>
      </c>
      <c r="C681" s="7">
        <f>'Adjust'!$C$90</f>
        <v>0</v>
      </c>
      <c r="D681" s="7">
        <f>'Adjust'!$D$90</f>
        <v>0</v>
      </c>
      <c r="E681" s="37">
        <f>'Adjust'!$E$90</f>
        <v>0</v>
      </c>
      <c r="F681" s="7">
        <f>'Adjust'!$G$90</f>
        <v>0</v>
      </c>
      <c r="G681" s="6">
        <f>IF(G$656&lt;&gt;0,(($B681*B$656+$C681*C$656+$D681*D$656+$F681*F$656))/G$656,0)</f>
        <v>0</v>
      </c>
      <c r="H681" s="17">
        <f>0.01*'Input'!$F$58*(E681*$E$656)+10*(B681*$B$656+C681*$C$656+D681*$D$656+F681*$F$656)</f>
        <v>0</v>
      </c>
      <c r="I681" s="6">
        <f>IF($G$656&lt;&gt;0,0.1*H681/$G$656,"")</f>
        <v>0</v>
      </c>
      <c r="J681" s="35">
        <f>IF($E$656&lt;&gt;0,H681/$E$656,"")</f>
        <v>0</v>
      </c>
      <c r="K681" s="10"/>
    </row>
    <row r="683" spans="1:11">
      <c r="A683" s="11" t="s">
        <v>1612</v>
      </c>
      <c r="B683" s="6">
        <f>SUM($B$659:$B$681)</f>
        <v>0</v>
      </c>
      <c r="C683" s="6">
        <f>SUM($C$659:$C$681)</f>
        <v>0</v>
      </c>
      <c r="D683" s="6">
        <f>SUM($D$659:$D$681)</f>
        <v>0</v>
      </c>
      <c r="E683" s="35">
        <f>SUM($E$659:$E$681)</f>
        <v>0</v>
      </c>
      <c r="F683" s="6">
        <f>SUM($F$659:$F$681)</f>
        <v>0</v>
      </c>
      <c r="G683" s="6">
        <f>SUM(G$659:G$681)</f>
        <v>0</v>
      </c>
      <c r="H683" s="17">
        <f>SUM($H$659:$H$681)</f>
        <v>0</v>
      </c>
      <c r="I683" s="6">
        <f>SUM($I$659:$I$681)</f>
        <v>0</v>
      </c>
      <c r="J683" s="35">
        <f>SUM($J$659:$J$681)</f>
        <v>0</v>
      </c>
    </row>
    <row r="685" spans="1:11">
      <c r="A685" s="1" t="s">
        <v>184</v>
      </c>
    </row>
    <row r="687" spans="1:11">
      <c r="B687" s="3" t="s">
        <v>221</v>
      </c>
      <c r="C687" s="3" t="s">
        <v>224</v>
      </c>
      <c r="D687" s="3" t="s">
        <v>226</v>
      </c>
      <c r="E687" s="3" t="s">
        <v>1593</v>
      </c>
      <c r="F687" s="3" t="s">
        <v>1594</v>
      </c>
    </row>
    <row r="688" spans="1:11">
      <c r="A688" s="11" t="s">
        <v>184</v>
      </c>
      <c r="B688" s="33">
        <f>'Loads'!B$303</f>
        <v>0</v>
      </c>
      <c r="C688" s="33">
        <f>'Loads'!E$303</f>
        <v>0</v>
      </c>
      <c r="D688" s="33">
        <f>'Loads'!G$303</f>
        <v>0</v>
      </c>
      <c r="E688" s="33">
        <f>'Multi'!B$130</f>
        <v>0</v>
      </c>
      <c r="F688" s="6">
        <f>IF(C688,E688/C688,"")</f>
        <v>0</v>
      </c>
      <c r="G688" s="10"/>
    </row>
    <row r="690" spans="1:8">
      <c r="B690" s="3" t="s">
        <v>1416</v>
      </c>
      <c r="C690" s="3" t="s">
        <v>1419</v>
      </c>
      <c r="D690" s="3" t="s">
        <v>1047</v>
      </c>
      <c r="E690" s="3" t="s">
        <v>1595</v>
      </c>
      <c r="F690" s="3" t="s">
        <v>1565</v>
      </c>
      <c r="G690" s="3" t="s">
        <v>1596</v>
      </c>
    </row>
    <row r="691" spans="1:8">
      <c r="A691" s="11" t="s">
        <v>449</v>
      </c>
      <c r="B691" s="7">
        <f>'Yard'!$C$44</f>
        <v>0</v>
      </c>
      <c r="C691" s="9"/>
      <c r="D691" s="7">
        <f>'Reactive'!$C$79</f>
        <v>0</v>
      </c>
      <c r="E691" s="17">
        <f>0.01*'Input'!$F$58*(C691*$C$688)+10*(B691*$B$688+D691*$D$688)</f>
        <v>0</v>
      </c>
      <c r="F691" s="6">
        <f>IF($E$688&lt;&gt;0,0.1*E691/$E$688,"")</f>
        <v>0</v>
      </c>
      <c r="G691" s="35">
        <f>IF($C$688&lt;&gt;0,E691/$C$688,"")</f>
        <v>0</v>
      </c>
      <c r="H691" s="10"/>
    </row>
    <row r="692" spans="1:8">
      <c r="A692" s="11" t="s">
        <v>450</v>
      </c>
      <c r="B692" s="7">
        <f>'Yard'!$D$44</f>
        <v>0</v>
      </c>
      <c r="C692" s="9"/>
      <c r="D692" s="7">
        <f>'Reactive'!$D$79</f>
        <v>0</v>
      </c>
      <c r="E692" s="17">
        <f>0.01*'Input'!$F$58*(C692*$C$688)+10*(B692*$B$688+D692*$D$688)</f>
        <v>0</v>
      </c>
      <c r="F692" s="6">
        <f>IF($E$688&lt;&gt;0,0.1*E692/$E$688,"")</f>
        <v>0</v>
      </c>
      <c r="G692" s="35">
        <f>IF($C$688&lt;&gt;0,E692/$C$688,"")</f>
        <v>0</v>
      </c>
      <c r="H692" s="10"/>
    </row>
    <row r="693" spans="1:8">
      <c r="A693" s="11" t="s">
        <v>451</v>
      </c>
      <c r="B693" s="7">
        <f>'Yard'!$E$44</f>
        <v>0</v>
      </c>
      <c r="C693" s="9"/>
      <c r="D693" s="7">
        <f>'Reactive'!$E$79</f>
        <v>0</v>
      </c>
      <c r="E693" s="17">
        <f>0.01*'Input'!$F$58*(C693*$C$688)+10*(B693*$B$688+D693*$D$688)</f>
        <v>0</v>
      </c>
      <c r="F693" s="6">
        <f>IF($E$688&lt;&gt;0,0.1*E693/$E$688,"")</f>
        <v>0</v>
      </c>
      <c r="G693" s="35">
        <f>IF($C$688&lt;&gt;0,E693/$C$688,"")</f>
        <v>0</v>
      </c>
      <c r="H693" s="10"/>
    </row>
    <row r="694" spans="1:8">
      <c r="A694" s="11" t="s">
        <v>452</v>
      </c>
      <c r="B694" s="7">
        <f>'Yard'!$F$44</f>
        <v>0</v>
      </c>
      <c r="C694" s="9"/>
      <c r="D694" s="7">
        <f>'Reactive'!$F$79</f>
        <v>0</v>
      </c>
      <c r="E694" s="17">
        <f>0.01*'Input'!$F$58*(C694*$C$688)+10*(B694*$B$688+D694*$D$688)</f>
        <v>0</v>
      </c>
      <c r="F694" s="6">
        <f>IF($E$688&lt;&gt;0,0.1*E694/$E$688,"")</f>
        <v>0</v>
      </c>
      <c r="G694" s="35">
        <f>IF($C$688&lt;&gt;0,E694/$C$688,"")</f>
        <v>0</v>
      </c>
      <c r="H694" s="10"/>
    </row>
    <row r="695" spans="1:8">
      <c r="A695" s="11" t="s">
        <v>453</v>
      </c>
      <c r="B695" s="7">
        <f>'Yard'!$G$44</f>
        <v>0</v>
      </c>
      <c r="C695" s="9"/>
      <c r="D695" s="7">
        <f>'Reactive'!$G$79</f>
        <v>0</v>
      </c>
      <c r="E695" s="17">
        <f>0.01*'Input'!$F$58*(C695*$C$688)+10*(B695*$B$688+D695*$D$688)</f>
        <v>0</v>
      </c>
      <c r="F695" s="6">
        <f>IF($E$688&lt;&gt;0,0.1*E695/$E$688,"")</f>
        <v>0</v>
      </c>
      <c r="G695" s="35">
        <f>IF($C$688&lt;&gt;0,E695/$C$688,"")</f>
        <v>0</v>
      </c>
      <c r="H695" s="10"/>
    </row>
    <row r="696" spans="1:8">
      <c r="A696" s="11" t="s">
        <v>454</v>
      </c>
      <c r="B696" s="7">
        <f>'Yard'!$H$44</f>
        <v>0</v>
      </c>
      <c r="C696" s="9"/>
      <c r="D696" s="7">
        <f>'Reactive'!$H$79</f>
        <v>0</v>
      </c>
      <c r="E696" s="17">
        <f>0.01*'Input'!$F$58*(C696*$C$688)+10*(B696*$B$688+D696*$D$688)</f>
        <v>0</v>
      </c>
      <c r="F696" s="6">
        <f>IF($E$688&lt;&gt;0,0.1*E696/$E$688,"")</f>
        <v>0</v>
      </c>
      <c r="G696" s="35">
        <f>IF($C$688&lt;&gt;0,E696/$C$688,"")</f>
        <v>0</v>
      </c>
      <c r="H696" s="10"/>
    </row>
    <row r="697" spans="1:8">
      <c r="A697" s="11" t="s">
        <v>455</v>
      </c>
      <c r="B697" s="7">
        <f>'Yard'!$I$44</f>
        <v>0</v>
      </c>
      <c r="C697" s="9"/>
      <c r="D697" s="7">
        <f>'Reactive'!$I$79</f>
        <v>0</v>
      </c>
      <c r="E697" s="17">
        <f>0.01*'Input'!$F$58*(C697*$C$688)+10*(B697*$B$688+D697*$D$688)</f>
        <v>0</v>
      </c>
      <c r="F697" s="6">
        <f>IF($E$688&lt;&gt;0,0.1*E697/$E$688,"")</f>
        <v>0</v>
      </c>
      <c r="G697" s="35">
        <f>IF($C$688&lt;&gt;0,E697/$C$688,"")</f>
        <v>0</v>
      </c>
      <c r="H697" s="10"/>
    </row>
    <row r="698" spans="1:8">
      <c r="A698" s="11" t="s">
        <v>456</v>
      </c>
      <c r="B698" s="7">
        <f>'Yard'!$J$44</f>
        <v>0</v>
      </c>
      <c r="C698" s="9"/>
      <c r="D698" s="7">
        <f>'Reactive'!$J$79</f>
        <v>0</v>
      </c>
      <c r="E698" s="17">
        <f>0.01*'Input'!$F$58*(C698*$C$688)+10*(B698*$B$688+D698*$D$688)</f>
        <v>0</v>
      </c>
      <c r="F698" s="6">
        <f>IF($E$688&lt;&gt;0,0.1*E698/$E$688,"")</f>
        <v>0</v>
      </c>
      <c r="G698" s="35">
        <f>IF($C$688&lt;&gt;0,E698/$C$688,"")</f>
        <v>0</v>
      </c>
      <c r="H698" s="10"/>
    </row>
    <row r="699" spans="1:8">
      <c r="A699" s="11" t="s">
        <v>1597</v>
      </c>
      <c r="B699" s="9"/>
      <c r="C699" s="37">
        <f>'SM'!$B$123</f>
        <v>0</v>
      </c>
      <c r="D699" s="9"/>
      <c r="E699" s="17">
        <f>0.01*'Input'!$F$58*(C699*$C$688)+10*(B699*$B$688+D699*$D$688)</f>
        <v>0</v>
      </c>
      <c r="F699" s="6">
        <f>IF($E$688&lt;&gt;0,0.1*E699/$E$688,"")</f>
        <v>0</v>
      </c>
      <c r="G699" s="35">
        <f>IF($C$688&lt;&gt;0,E699/$C$688,"")</f>
        <v>0</v>
      </c>
      <c r="H699" s="10"/>
    </row>
    <row r="700" spans="1:8">
      <c r="A700" s="11" t="s">
        <v>1598</v>
      </c>
      <c r="B700" s="9"/>
      <c r="C700" s="37">
        <f>'SM'!$C$123</f>
        <v>0</v>
      </c>
      <c r="D700" s="9"/>
      <c r="E700" s="17">
        <f>0.01*'Input'!$F$58*(C700*$C$688)+10*(B700*$B$688+D700*$D$688)</f>
        <v>0</v>
      </c>
      <c r="F700" s="6">
        <f>IF($E$688&lt;&gt;0,0.1*E700/$E$688,"")</f>
        <v>0</v>
      </c>
      <c r="G700" s="35">
        <f>IF($C$688&lt;&gt;0,E700/$C$688,"")</f>
        <v>0</v>
      </c>
      <c r="H700" s="10"/>
    </row>
    <row r="701" spans="1:8">
      <c r="A701" s="11" t="s">
        <v>1599</v>
      </c>
      <c r="B701" s="7">
        <f>'Yard'!$K$44</f>
        <v>0</v>
      </c>
      <c r="C701" s="9"/>
      <c r="D701" s="7">
        <f>'Reactive'!$K$79</f>
        <v>0</v>
      </c>
      <c r="E701" s="17">
        <f>0.01*'Input'!$F$58*(C701*$C$688)+10*(B701*$B$688+D701*$D$688)</f>
        <v>0</v>
      </c>
      <c r="F701" s="6">
        <f>IF($E$688&lt;&gt;0,0.1*E701/$E$688,"")</f>
        <v>0</v>
      </c>
      <c r="G701" s="35">
        <f>IF($C$688&lt;&gt;0,E701/$C$688,"")</f>
        <v>0</v>
      </c>
      <c r="H701" s="10"/>
    </row>
    <row r="702" spans="1:8">
      <c r="A702" s="11" t="s">
        <v>1600</v>
      </c>
      <c r="B702" s="7">
        <f>'Yard'!$L$44</f>
        <v>0</v>
      </c>
      <c r="C702" s="9"/>
      <c r="D702" s="7">
        <f>'Reactive'!$L$79</f>
        <v>0</v>
      </c>
      <c r="E702" s="17">
        <f>0.01*'Input'!$F$58*(C702*$C$688)+10*(B702*$B$688+D702*$D$688)</f>
        <v>0</v>
      </c>
      <c r="F702" s="6">
        <f>IF($E$688&lt;&gt;0,0.1*E702/$E$688,"")</f>
        <v>0</v>
      </c>
      <c r="G702" s="35">
        <f>IF($C$688&lt;&gt;0,E702/$C$688,"")</f>
        <v>0</v>
      </c>
      <c r="H702" s="10"/>
    </row>
    <row r="703" spans="1:8">
      <c r="A703" s="11" t="s">
        <v>1601</v>
      </c>
      <c r="B703" s="7">
        <f>'Yard'!$M$44</f>
        <v>0</v>
      </c>
      <c r="C703" s="9"/>
      <c r="D703" s="7">
        <f>'Reactive'!$M$79</f>
        <v>0</v>
      </c>
      <c r="E703" s="17">
        <f>0.01*'Input'!$F$58*(C703*$C$688)+10*(B703*$B$688+D703*$D$688)</f>
        <v>0</v>
      </c>
      <c r="F703" s="6">
        <f>IF($E$688&lt;&gt;0,0.1*E703/$E$688,"")</f>
        <v>0</v>
      </c>
      <c r="G703" s="35">
        <f>IF($C$688&lt;&gt;0,E703/$C$688,"")</f>
        <v>0</v>
      </c>
      <c r="H703" s="10"/>
    </row>
    <row r="704" spans="1:8">
      <c r="A704" s="11" t="s">
        <v>1602</v>
      </c>
      <c r="B704" s="7">
        <f>'Yard'!$N$44</f>
        <v>0</v>
      </c>
      <c r="C704" s="9"/>
      <c r="D704" s="7">
        <f>'Reactive'!$N$79</f>
        <v>0</v>
      </c>
      <c r="E704" s="17">
        <f>0.01*'Input'!$F$58*(C704*$C$688)+10*(B704*$B$688+D704*$D$688)</f>
        <v>0</v>
      </c>
      <c r="F704" s="6">
        <f>IF($E$688&lt;&gt;0,0.1*E704/$E$688,"")</f>
        <v>0</v>
      </c>
      <c r="G704" s="35">
        <f>IF($C$688&lt;&gt;0,E704/$C$688,"")</f>
        <v>0</v>
      </c>
      <c r="H704" s="10"/>
    </row>
    <row r="705" spans="1:9">
      <c r="A705" s="11" t="s">
        <v>1603</v>
      </c>
      <c r="B705" s="7">
        <f>'Yard'!$O$44</f>
        <v>0</v>
      </c>
      <c r="C705" s="9"/>
      <c r="D705" s="7">
        <f>'Reactive'!$O$79</f>
        <v>0</v>
      </c>
      <c r="E705" s="17">
        <f>0.01*'Input'!$F$58*(C705*$C$688)+10*(B705*$B$688+D705*$D$688)</f>
        <v>0</v>
      </c>
      <c r="F705" s="6">
        <f>IF($E$688&lt;&gt;0,0.1*E705/$E$688,"")</f>
        <v>0</v>
      </c>
      <c r="G705" s="35">
        <f>IF($C$688&lt;&gt;0,E705/$C$688,"")</f>
        <v>0</v>
      </c>
      <c r="H705" s="10"/>
    </row>
    <row r="706" spans="1:9">
      <c r="A706" s="11" t="s">
        <v>1604</v>
      </c>
      <c r="B706" s="7">
        <f>'Yard'!$P$44</f>
        <v>0</v>
      </c>
      <c r="C706" s="9"/>
      <c r="D706" s="7">
        <f>'Reactive'!$P$79</f>
        <v>0</v>
      </c>
      <c r="E706" s="17">
        <f>0.01*'Input'!$F$58*(C706*$C$688)+10*(B706*$B$688+D706*$D$688)</f>
        <v>0</v>
      </c>
      <c r="F706" s="6">
        <f>IF($E$688&lt;&gt;0,0.1*E706/$E$688,"")</f>
        <v>0</v>
      </c>
      <c r="G706" s="35">
        <f>IF($C$688&lt;&gt;0,E706/$C$688,"")</f>
        <v>0</v>
      </c>
      <c r="H706" s="10"/>
    </row>
    <row r="707" spans="1:9">
      <c r="A707" s="11" t="s">
        <v>1605</v>
      </c>
      <c r="B707" s="7">
        <f>'Yard'!$Q$44</f>
        <v>0</v>
      </c>
      <c r="C707" s="9"/>
      <c r="D707" s="7">
        <f>'Reactive'!$Q$79</f>
        <v>0</v>
      </c>
      <c r="E707" s="17">
        <f>0.01*'Input'!$F$58*(C707*$C$688)+10*(B707*$B$688+D707*$D$688)</f>
        <v>0</v>
      </c>
      <c r="F707" s="6">
        <f>IF($E$688&lt;&gt;0,0.1*E707/$E$688,"")</f>
        <v>0</v>
      </c>
      <c r="G707" s="35">
        <f>IF($C$688&lt;&gt;0,E707/$C$688,"")</f>
        <v>0</v>
      </c>
      <c r="H707" s="10"/>
    </row>
    <row r="708" spans="1:9">
      <c r="A708" s="11" t="s">
        <v>1606</v>
      </c>
      <c r="B708" s="7">
        <f>'Yard'!$R$44</f>
        <v>0</v>
      </c>
      <c r="C708" s="9"/>
      <c r="D708" s="7">
        <f>'Reactive'!$R$79</f>
        <v>0</v>
      </c>
      <c r="E708" s="17">
        <f>0.01*'Input'!$F$58*(C708*$C$688)+10*(B708*$B$688+D708*$D$688)</f>
        <v>0</v>
      </c>
      <c r="F708" s="6">
        <f>IF($E$688&lt;&gt;0,0.1*E708/$E$688,"")</f>
        <v>0</v>
      </c>
      <c r="G708" s="35">
        <f>IF($C$688&lt;&gt;0,E708/$C$688,"")</f>
        <v>0</v>
      </c>
      <c r="H708" s="10"/>
    </row>
    <row r="709" spans="1:9">
      <c r="A709" s="11" t="s">
        <v>1607</v>
      </c>
      <c r="B709" s="7">
        <f>'Yard'!$S$44</f>
        <v>0</v>
      </c>
      <c r="C709" s="9"/>
      <c r="D709" s="7">
        <f>'Reactive'!$S$79</f>
        <v>0</v>
      </c>
      <c r="E709" s="17">
        <f>0.01*'Input'!$F$58*(C709*$C$688)+10*(B709*$B$688+D709*$D$688)</f>
        <v>0</v>
      </c>
      <c r="F709" s="6">
        <f>IF($E$688&lt;&gt;0,0.1*E709/$E$688,"")</f>
        <v>0</v>
      </c>
      <c r="G709" s="35">
        <f>IF($C$688&lt;&gt;0,E709/$C$688,"")</f>
        <v>0</v>
      </c>
      <c r="H709" s="10"/>
    </row>
    <row r="710" spans="1:9">
      <c r="A710" s="11" t="s">
        <v>1608</v>
      </c>
      <c r="B710" s="9"/>
      <c r="C710" s="37">
        <f>'Otex'!$B$142</f>
        <v>0</v>
      </c>
      <c r="D710" s="9"/>
      <c r="E710" s="17">
        <f>0.01*'Input'!$F$58*(C710*$C$688)+10*(B710*$B$688+D710*$D$688)</f>
        <v>0</v>
      </c>
      <c r="F710" s="6">
        <f>IF($E$688&lt;&gt;0,0.1*E710/$E$688,"")</f>
        <v>0</v>
      </c>
      <c r="G710" s="35">
        <f>IF($C$688&lt;&gt;0,E710/$C$688,"")</f>
        <v>0</v>
      </c>
      <c r="H710" s="10"/>
    </row>
    <row r="711" spans="1:9">
      <c r="A711" s="11" t="s">
        <v>1609</v>
      </c>
      <c r="B711" s="9"/>
      <c r="C711" s="37">
        <f>'Otex'!$C$142</f>
        <v>0</v>
      </c>
      <c r="D711" s="9"/>
      <c r="E711" s="17">
        <f>0.01*'Input'!$F$58*(C711*$C$688)+10*(B711*$B$688+D711*$D$688)</f>
        <v>0</v>
      </c>
      <c r="F711" s="6">
        <f>IF($E$688&lt;&gt;0,0.1*E711/$E$688,"")</f>
        <v>0</v>
      </c>
      <c r="G711" s="35">
        <f>IF($C$688&lt;&gt;0,E711/$C$688,"")</f>
        <v>0</v>
      </c>
      <c r="H711" s="10"/>
    </row>
    <row r="712" spans="1:9">
      <c r="A712" s="11" t="s">
        <v>1610</v>
      </c>
      <c r="B712" s="7">
        <f>'Adder'!$B$763</f>
        <v>0</v>
      </c>
      <c r="C712" s="37">
        <f>'Adder'!$E$763</f>
        <v>0</v>
      </c>
      <c r="D712" s="7">
        <f>'Adder'!$G$763</f>
        <v>0</v>
      </c>
      <c r="E712" s="17">
        <f>0.01*'Input'!$F$58*(C712*$C$688)+10*(B712*$B$688+D712*$D$688)</f>
        <v>0</v>
      </c>
      <c r="F712" s="6">
        <f>IF($E$688&lt;&gt;0,0.1*E712/$E$688,"")</f>
        <v>0</v>
      </c>
      <c r="G712" s="35">
        <f>IF($C$688&lt;&gt;0,E712/$C$688,"")</f>
        <v>0</v>
      </c>
      <c r="H712" s="10"/>
    </row>
    <row r="713" spans="1:9">
      <c r="A713" s="11" t="s">
        <v>1611</v>
      </c>
      <c r="B713" s="7">
        <f>'Adjust'!$B$91</f>
        <v>0</v>
      </c>
      <c r="C713" s="37">
        <f>'Adjust'!$E$91</f>
        <v>0</v>
      </c>
      <c r="D713" s="7">
        <f>'Adjust'!$G$91</f>
        <v>0</v>
      </c>
      <c r="E713" s="17">
        <f>0.01*'Input'!$F$58*(C713*$C$688)+10*(B713*$B$688+D713*$D$688)</f>
        <v>0</v>
      </c>
      <c r="F713" s="6">
        <f>IF($E$688&lt;&gt;0,0.1*E713/$E$688,"")</f>
        <v>0</v>
      </c>
      <c r="G713" s="35">
        <f>IF($C$688&lt;&gt;0,E713/$C$688,"")</f>
        <v>0</v>
      </c>
      <c r="H713" s="10"/>
    </row>
    <row r="715" spans="1:9">
      <c r="A715" s="11" t="s">
        <v>1612</v>
      </c>
      <c r="B715" s="6">
        <f>SUM($B$691:$B$713)</f>
        <v>0</v>
      </c>
      <c r="C715" s="35">
        <f>SUM($C$691:$C$713)</f>
        <v>0</v>
      </c>
      <c r="D715" s="6">
        <f>SUM($D$691:$D$713)</f>
        <v>0</v>
      </c>
      <c r="E715" s="17">
        <f>SUM($E$691:$E$713)</f>
        <v>0</v>
      </c>
      <c r="F715" s="6">
        <f>SUM($F$691:$F$713)</f>
        <v>0</v>
      </c>
      <c r="G715" s="35">
        <f>SUM($G$691:$G$713)</f>
        <v>0</v>
      </c>
    </row>
    <row r="717" spans="1:9">
      <c r="A717" s="1" t="s">
        <v>185</v>
      </c>
    </row>
    <row r="719" spans="1:9">
      <c r="B719" s="3" t="s">
        <v>221</v>
      </c>
      <c r="C719" s="3" t="s">
        <v>222</v>
      </c>
      <c r="D719" s="3" t="s">
        <v>223</v>
      </c>
      <c r="E719" s="3" t="s">
        <v>224</v>
      </c>
      <c r="F719" s="3" t="s">
        <v>226</v>
      </c>
      <c r="G719" s="3" t="s">
        <v>1593</v>
      </c>
      <c r="H719" s="3" t="s">
        <v>1594</v>
      </c>
    </row>
    <row r="720" spans="1:9">
      <c r="A720" s="11" t="s">
        <v>185</v>
      </c>
      <c r="B720" s="33">
        <f>'Loads'!B$304</f>
        <v>0</v>
      </c>
      <c r="C720" s="33">
        <f>'Loads'!C$304</f>
        <v>0</v>
      </c>
      <c r="D720" s="33">
        <f>'Loads'!D$304</f>
        <v>0</v>
      </c>
      <c r="E720" s="33">
        <f>'Loads'!E$304</f>
        <v>0</v>
      </c>
      <c r="F720" s="33">
        <f>'Loads'!G$304</f>
        <v>0</v>
      </c>
      <c r="G720" s="33">
        <f>'Multi'!B$131</f>
        <v>0</v>
      </c>
      <c r="H720" s="6">
        <f>IF(E720,G720/E720,"")</f>
        <v>0</v>
      </c>
      <c r="I720" s="10"/>
    </row>
    <row r="722" spans="1:11">
      <c r="B722" s="3" t="s">
        <v>1416</v>
      </c>
      <c r="C722" s="3" t="s">
        <v>1417</v>
      </c>
      <c r="D722" s="3" t="s">
        <v>1418</v>
      </c>
      <c r="E722" s="3" t="s">
        <v>1419</v>
      </c>
      <c r="F722" s="3" t="s">
        <v>1047</v>
      </c>
      <c r="G722" s="3" t="s">
        <v>1613</v>
      </c>
      <c r="H722" s="3" t="s">
        <v>1595</v>
      </c>
      <c r="I722" s="3" t="s">
        <v>1565</v>
      </c>
      <c r="J722" s="3" t="s">
        <v>1596</v>
      </c>
    </row>
    <row r="723" spans="1:11">
      <c r="A723" s="11" t="s">
        <v>449</v>
      </c>
      <c r="B723" s="7">
        <f>'Yard'!$C$70</f>
        <v>0</v>
      </c>
      <c r="C723" s="7">
        <f>'Yard'!$C$97</f>
        <v>0</v>
      </c>
      <c r="D723" s="7">
        <f>'Yard'!$C$115</f>
        <v>0</v>
      </c>
      <c r="E723" s="9"/>
      <c r="F723" s="7">
        <f>'Reactive'!$C$80</f>
        <v>0</v>
      </c>
      <c r="G723" s="6">
        <f>IF(G$720&lt;&gt;0,(($B723*B$720+$C723*C$720+$D723*D$720+$F723*F$720))/G$720,0)</f>
        <v>0</v>
      </c>
      <c r="H723" s="17">
        <f>0.01*'Input'!$F$58*(E723*$E$720)+10*(B723*$B$720+C723*$C$720+D723*$D$720+F723*$F$720)</f>
        <v>0</v>
      </c>
      <c r="I723" s="6">
        <f>IF($G$720&lt;&gt;0,0.1*H723/$G$720,"")</f>
        <v>0</v>
      </c>
      <c r="J723" s="35">
        <f>IF($E$720&lt;&gt;0,H723/$E$720,"")</f>
        <v>0</v>
      </c>
      <c r="K723" s="10"/>
    </row>
    <row r="724" spans="1:11">
      <c r="A724" s="11" t="s">
        <v>450</v>
      </c>
      <c r="B724" s="7">
        <f>'Yard'!$D$70</f>
        <v>0</v>
      </c>
      <c r="C724" s="7">
        <f>'Yard'!$D$97</f>
        <v>0</v>
      </c>
      <c r="D724" s="7">
        <f>'Yard'!$D$115</f>
        <v>0</v>
      </c>
      <c r="E724" s="9"/>
      <c r="F724" s="7">
        <f>'Reactive'!$D$80</f>
        <v>0</v>
      </c>
      <c r="G724" s="6">
        <f>IF(G$720&lt;&gt;0,(($B724*B$720+$C724*C$720+$D724*D$720+$F724*F$720))/G$720,0)</f>
        <v>0</v>
      </c>
      <c r="H724" s="17">
        <f>0.01*'Input'!$F$58*(E724*$E$720)+10*(B724*$B$720+C724*$C$720+D724*$D$720+F724*$F$720)</f>
        <v>0</v>
      </c>
      <c r="I724" s="6">
        <f>IF($G$720&lt;&gt;0,0.1*H724/$G$720,"")</f>
        <v>0</v>
      </c>
      <c r="J724" s="35">
        <f>IF($E$720&lt;&gt;0,H724/$E$720,"")</f>
        <v>0</v>
      </c>
      <c r="K724" s="10"/>
    </row>
    <row r="725" spans="1:11">
      <c r="A725" s="11" t="s">
        <v>451</v>
      </c>
      <c r="B725" s="7">
        <f>'Yard'!$E$70</f>
        <v>0</v>
      </c>
      <c r="C725" s="7">
        <f>'Yard'!$E$97</f>
        <v>0</v>
      </c>
      <c r="D725" s="7">
        <f>'Yard'!$E$115</f>
        <v>0</v>
      </c>
      <c r="E725" s="9"/>
      <c r="F725" s="7">
        <f>'Reactive'!$E$80</f>
        <v>0</v>
      </c>
      <c r="G725" s="6">
        <f>IF(G$720&lt;&gt;0,(($B725*B$720+$C725*C$720+$D725*D$720+$F725*F$720))/G$720,0)</f>
        <v>0</v>
      </c>
      <c r="H725" s="17">
        <f>0.01*'Input'!$F$58*(E725*$E$720)+10*(B725*$B$720+C725*$C$720+D725*$D$720+F725*$F$720)</f>
        <v>0</v>
      </c>
      <c r="I725" s="6">
        <f>IF($G$720&lt;&gt;0,0.1*H725/$G$720,"")</f>
        <v>0</v>
      </c>
      <c r="J725" s="35">
        <f>IF($E$720&lt;&gt;0,H725/$E$720,"")</f>
        <v>0</v>
      </c>
      <c r="K725" s="10"/>
    </row>
    <row r="726" spans="1:11">
      <c r="A726" s="11" t="s">
        <v>452</v>
      </c>
      <c r="B726" s="7">
        <f>'Yard'!$F$70</f>
        <v>0</v>
      </c>
      <c r="C726" s="7">
        <f>'Yard'!$F$97</f>
        <v>0</v>
      </c>
      <c r="D726" s="7">
        <f>'Yard'!$F$115</f>
        <v>0</v>
      </c>
      <c r="E726" s="9"/>
      <c r="F726" s="7">
        <f>'Reactive'!$F$80</f>
        <v>0</v>
      </c>
      <c r="G726" s="6">
        <f>IF(G$720&lt;&gt;0,(($B726*B$720+$C726*C$720+$D726*D$720+$F726*F$720))/G$720,0)</f>
        <v>0</v>
      </c>
      <c r="H726" s="17">
        <f>0.01*'Input'!$F$58*(E726*$E$720)+10*(B726*$B$720+C726*$C$720+D726*$D$720+F726*$F$720)</f>
        <v>0</v>
      </c>
      <c r="I726" s="6">
        <f>IF($G$720&lt;&gt;0,0.1*H726/$G$720,"")</f>
        <v>0</v>
      </c>
      <c r="J726" s="35">
        <f>IF($E$720&lt;&gt;0,H726/$E$720,"")</f>
        <v>0</v>
      </c>
      <c r="K726" s="10"/>
    </row>
    <row r="727" spans="1:11">
      <c r="A727" s="11" t="s">
        <v>453</v>
      </c>
      <c r="B727" s="7">
        <f>'Yard'!$G$70</f>
        <v>0</v>
      </c>
      <c r="C727" s="7">
        <f>'Yard'!$G$97</f>
        <v>0</v>
      </c>
      <c r="D727" s="7">
        <f>'Yard'!$G$115</f>
        <v>0</v>
      </c>
      <c r="E727" s="9"/>
      <c r="F727" s="7">
        <f>'Reactive'!$G$80</f>
        <v>0</v>
      </c>
      <c r="G727" s="6">
        <f>IF(G$720&lt;&gt;0,(($B727*B$720+$C727*C$720+$D727*D$720+$F727*F$720))/G$720,0)</f>
        <v>0</v>
      </c>
      <c r="H727" s="17">
        <f>0.01*'Input'!$F$58*(E727*$E$720)+10*(B727*$B$720+C727*$C$720+D727*$D$720+F727*$F$720)</f>
        <v>0</v>
      </c>
      <c r="I727" s="6">
        <f>IF($G$720&lt;&gt;0,0.1*H727/$G$720,"")</f>
        <v>0</v>
      </c>
      <c r="J727" s="35">
        <f>IF($E$720&lt;&gt;0,H727/$E$720,"")</f>
        <v>0</v>
      </c>
      <c r="K727" s="10"/>
    </row>
    <row r="728" spans="1:11">
      <c r="A728" s="11" t="s">
        <v>454</v>
      </c>
      <c r="B728" s="7">
        <f>'Yard'!$H$70</f>
        <v>0</v>
      </c>
      <c r="C728" s="7">
        <f>'Yard'!$H$97</f>
        <v>0</v>
      </c>
      <c r="D728" s="7">
        <f>'Yard'!$H$115</f>
        <v>0</v>
      </c>
      <c r="E728" s="9"/>
      <c r="F728" s="7">
        <f>'Reactive'!$H$80</f>
        <v>0</v>
      </c>
      <c r="G728" s="6">
        <f>IF(G$720&lt;&gt;0,(($B728*B$720+$C728*C$720+$D728*D$720+$F728*F$720))/G$720,0)</f>
        <v>0</v>
      </c>
      <c r="H728" s="17">
        <f>0.01*'Input'!$F$58*(E728*$E$720)+10*(B728*$B$720+C728*$C$720+D728*$D$720+F728*$F$720)</f>
        <v>0</v>
      </c>
      <c r="I728" s="6">
        <f>IF($G$720&lt;&gt;0,0.1*H728/$G$720,"")</f>
        <v>0</v>
      </c>
      <c r="J728" s="35">
        <f>IF($E$720&lt;&gt;0,H728/$E$720,"")</f>
        <v>0</v>
      </c>
      <c r="K728" s="10"/>
    </row>
    <row r="729" spans="1:11">
      <c r="A729" s="11" t="s">
        <v>455</v>
      </c>
      <c r="B729" s="7">
        <f>'Yard'!$I$70</f>
        <v>0</v>
      </c>
      <c r="C729" s="7">
        <f>'Yard'!$I$97</f>
        <v>0</v>
      </c>
      <c r="D729" s="7">
        <f>'Yard'!$I$115</f>
        <v>0</v>
      </c>
      <c r="E729" s="9"/>
      <c r="F729" s="7">
        <f>'Reactive'!$I$80</f>
        <v>0</v>
      </c>
      <c r="G729" s="6">
        <f>IF(G$720&lt;&gt;0,(($B729*B$720+$C729*C$720+$D729*D$720+$F729*F$720))/G$720,0)</f>
        <v>0</v>
      </c>
      <c r="H729" s="17">
        <f>0.01*'Input'!$F$58*(E729*$E$720)+10*(B729*$B$720+C729*$C$720+D729*$D$720+F729*$F$720)</f>
        <v>0</v>
      </c>
      <c r="I729" s="6">
        <f>IF($G$720&lt;&gt;0,0.1*H729/$G$720,"")</f>
        <v>0</v>
      </c>
      <c r="J729" s="35">
        <f>IF($E$720&lt;&gt;0,H729/$E$720,"")</f>
        <v>0</v>
      </c>
      <c r="K729" s="10"/>
    </row>
    <row r="730" spans="1:11">
      <c r="A730" s="11" t="s">
        <v>456</v>
      </c>
      <c r="B730" s="7">
        <f>'Yard'!$J$70</f>
        <v>0</v>
      </c>
      <c r="C730" s="7">
        <f>'Yard'!$J$97</f>
        <v>0</v>
      </c>
      <c r="D730" s="7">
        <f>'Yard'!$J$115</f>
        <v>0</v>
      </c>
      <c r="E730" s="9"/>
      <c r="F730" s="7">
        <f>'Reactive'!$J$80</f>
        <v>0</v>
      </c>
      <c r="G730" s="6">
        <f>IF(G$720&lt;&gt;0,(($B730*B$720+$C730*C$720+$D730*D$720+$F730*F$720))/G$720,0)</f>
        <v>0</v>
      </c>
      <c r="H730" s="17">
        <f>0.01*'Input'!$F$58*(E730*$E$720)+10*(B730*$B$720+C730*$C$720+D730*$D$720+F730*$F$720)</f>
        <v>0</v>
      </c>
      <c r="I730" s="6">
        <f>IF($G$720&lt;&gt;0,0.1*H730/$G$720,"")</f>
        <v>0</v>
      </c>
      <c r="J730" s="35">
        <f>IF($E$720&lt;&gt;0,H730/$E$720,"")</f>
        <v>0</v>
      </c>
      <c r="K730" s="10"/>
    </row>
    <row r="731" spans="1:11">
      <c r="A731" s="11" t="s">
        <v>1597</v>
      </c>
      <c r="B731" s="9"/>
      <c r="C731" s="9"/>
      <c r="D731" s="9"/>
      <c r="E731" s="37">
        <f>'SM'!$B$124</f>
        <v>0</v>
      </c>
      <c r="F731" s="9"/>
      <c r="G731" s="6">
        <f>IF(G$720&lt;&gt;0,(($B731*B$720+$C731*C$720+$D731*D$720+$F731*F$720))/G$720,0)</f>
        <v>0</v>
      </c>
      <c r="H731" s="17">
        <f>0.01*'Input'!$F$58*(E731*$E$720)+10*(B731*$B$720+C731*$C$720+D731*$D$720+F731*$F$720)</f>
        <v>0</v>
      </c>
      <c r="I731" s="6">
        <f>IF($G$720&lt;&gt;0,0.1*H731/$G$720,"")</f>
        <v>0</v>
      </c>
      <c r="J731" s="35">
        <f>IF($E$720&lt;&gt;0,H731/$E$720,"")</f>
        <v>0</v>
      </c>
      <c r="K731" s="10"/>
    </row>
    <row r="732" spans="1:11">
      <c r="A732" s="11" t="s">
        <v>1598</v>
      </c>
      <c r="B732" s="9"/>
      <c r="C732" s="9"/>
      <c r="D732" s="9"/>
      <c r="E732" s="37">
        <f>'SM'!$C$124</f>
        <v>0</v>
      </c>
      <c r="F732" s="9"/>
      <c r="G732" s="6">
        <f>IF(G$720&lt;&gt;0,(($B732*B$720+$C732*C$720+$D732*D$720+$F732*F$720))/G$720,0)</f>
        <v>0</v>
      </c>
      <c r="H732" s="17">
        <f>0.01*'Input'!$F$58*(E732*$E$720)+10*(B732*$B$720+C732*$C$720+D732*$D$720+F732*$F$720)</f>
        <v>0</v>
      </c>
      <c r="I732" s="6">
        <f>IF($G$720&lt;&gt;0,0.1*H732/$G$720,"")</f>
        <v>0</v>
      </c>
      <c r="J732" s="35">
        <f>IF($E$720&lt;&gt;0,H732/$E$720,"")</f>
        <v>0</v>
      </c>
      <c r="K732" s="10"/>
    </row>
    <row r="733" spans="1:11">
      <c r="A733" s="11" t="s">
        <v>1599</v>
      </c>
      <c r="B733" s="7">
        <f>'Yard'!$K$70</f>
        <v>0</v>
      </c>
      <c r="C733" s="7">
        <f>'Yard'!$K$97</f>
        <v>0</v>
      </c>
      <c r="D733" s="7">
        <f>'Yard'!$K$115</f>
        <v>0</v>
      </c>
      <c r="E733" s="9"/>
      <c r="F733" s="7">
        <f>'Reactive'!$K$80</f>
        <v>0</v>
      </c>
      <c r="G733" s="6">
        <f>IF(G$720&lt;&gt;0,(($B733*B$720+$C733*C$720+$D733*D$720+$F733*F$720))/G$720,0)</f>
        <v>0</v>
      </c>
      <c r="H733" s="17">
        <f>0.01*'Input'!$F$58*(E733*$E$720)+10*(B733*$B$720+C733*$C$720+D733*$D$720+F733*$F$720)</f>
        <v>0</v>
      </c>
      <c r="I733" s="6">
        <f>IF($G$720&lt;&gt;0,0.1*H733/$G$720,"")</f>
        <v>0</v>
      </c>
      <c r="J733" s="35">
        <f>IF($E$720&lt;&gt;0,H733/$E$720,"")</f>
        <v>0</v>
      </c>
      <c r="K733" s="10"/>
    </row>
    <row r="734" spans="1:11">
      <c r="A734" s="11" t="s">
        <v>1600</v>
      </c>
      <c r="B734" s="7">
        <f>'Yard'!$L$70</f>
        <v>0</v>
      </c>
      <c r="C734" s="7">
        <f>'Yard'!$L$97</f>
        <v>0</v>
      </c>
      <c r="D734" s="7">
        <f>'Yard'!$L$115</f>
        <v>0</v>
      </c>
      <c r="E734" s="9"/>
      <c r="F734" s="7">
        <f>'Reactive'!$L$80</f>
        <v>0</v>
      </c>
      <c r="G734" s="6">
        <f>IF(G$720&lt;&gt;0,(($B734*B$720+$C734*C$720+$D734*D$720+$F734*F$720))/G$720,0)</f>
        <v>0</v>
      </c>
      <c r="H734" s="17">
        <f>0.01*'Input'!$F$58*(E734*$E$720)+10*(B734*$B$720+C734*$C$720+D734*$D$720+F734*$F$720)</f>
        <v>0</v>
      </c>
      <c r="I734" s="6">
        <f>IF($G$720&lt;&gt;0,0.1*H734/$G$720,"")</f>
        <v>0</v>
      </c>
      <c r="J734" s="35">
        <f>IF($E$720&lt;&gt;0,H734/$E$720,"")</f>
        <v>0</v>
      </c>
      <c r="K734" s="10"/>
    </row>
    <row r="735" spans="1:11">
      <c r="A735" s="11" t="s">
        <v>1601</v>
      </c>
      <c r="B735" s="7">
        <f>'Yard'!$M$70</f>
        <v>0</v>
      </c>
      <c r="C735" s="7">
        <f>'Yard'!$M$97</f>
        <v>0</v>
      </c>
      <c r="D735" s="7">
        <f>'Yard'!$M$115</f>
        <v>0</v>
      </c>
      <c r="E735" s="9"/>
      <c r="F735" s="7">
        <f>'Reactive'!$M$80</f>
        <v>0</v>
      </c>
      <c r="G735" s="6">
        <f>IF(G$720&lt;&gt;0,(($B735*B$720+$C735*C$720+$D735*D$720+$F735*F$720))/G$720,0)</f>
        <v>0</v>
      </c>
      <c r="H735" s="17">
        <f>0.01*'Input'!$F$58*(E735*$E$720)+10*(B735*$B$720+C735*$C$720+D735*$D$720+F735*$F$720)</f>
        <v>0</v>
      </c>
      <c r="I735" s="6">
        <f>IF($G$720&lt;&gt;0,0.1*H735/$G$720,"")</f>
        <v>0</v>
      </c>
      <c r="J735" s="35">
        <f>IF($E$720&lt;&gt;0,H735/$E$720,"")</f>
        <v>0</v>
      </c>
      <c r="K735" s="10"/>
    </row>
    <row r="736" spans="1:11">
      <c r="A736" s="11" t="s">
        <v>1602</v>
      </c>
      <c r="B736" s="7">
        <f>'Yard'!$N$70</f>
        <v>0</v>
      </c>
      <c r="C736" s="7">
        <f>'Yard'!$N$97</f>
        <v>0</v>
      </c>
      <c r="D736" s="7">
        <f>'Yard'!$N$115</f>
        <v>0</v>
      </c>
      <c r="E736" s="9"/>
      <c r="F736" s="7">
        <f>'Reactive'!$N$80</f>
        <v>0</v>
      </c>
      <c r="G736" s="6">
        <f>IF(G$720&lt;&gt;0,(($B736*B$720+$C736*C$720+$D736*D$720+$F736*F$720))/G$720,0)</f>
        <v>0</v>
      </c>
      <c r="H736" s="17">
        <f>0.01*'Input'!$F$58*(E736*$E$720)+10*(B736*$B$720+C736*$C$720+D736*$D$720+F736*$F$720)</f>
        <v>0</v>
      </c>
      <c r="I736" s="6">
        <f>IF($G$720&lt;&gt;0,0.1*H736/$G$720,"")</f>
        <v>0</v>
      </c>
      <c r="J736" s="35">
        <f>IF($E$720&lt;&gt;0,H736/$E$720,"")</f>
        <v>0</v>
      </c>
      <c r="K736" s="10"/>
    </row>
    <row r="737" spans="1:11">
      <c r="A737" s="11" t="s">
        <v>1603</v>
      </c>
      <c r="B737" s="7">
        <f>'Yard'!$O$70</f>
        <v>0</v>
      </c>
      <c r="C737" s="7">
        <f>'Yard'!$O$97</f>
        <v>0</v>
      </c>
      <c r="D737" s="7">
        <f>'Yard'!$O$115</f>
        <v>0</v>
      </c>
      <c r="E737" s="9"/>
      <c r="F737" s="7">
        <f>'Reactive'!$O$80</f>
        <v>0</v>
      </c>
      <c r="G737" s="6">
        <f>IF(G$720&lt;&gt;0,(($B737*B$720+$C737*C$720+$D737*D$720+$F737*F$720))/G$720,0)</f>
        <v>0</v>
      </c>
      <c r="H737" s="17">
        <f>0.01*'Input'!$F$58*(E737*$E$720)+10*(B737*$B$720+C737*$C$720+D737*$D$720+F737*$F$720)</f>
        <v>0</v>
      </c>
      <c r="I737" s="6">
        <f>IF($G$720&lt;&gt;0,0.1*H737/$G$720,"")</f>
        <v>0</v>
      </c>
      <c r="J737" s="35">
        <f>IF($E$720&lt;&gt;0,H737/$E$720,"")</f>
        <v>0</v>
      </c>
      <c r="K737" s="10"/>
    </row>
    <row r="738" spans="1:11">
      <c r="A738" s="11" t="s">
        <v>1604</v>
      </c>
      <c r="B738" s="7">
        <f>'Yard'!$P$70</f>
        <v>0</v>
      </c>
      <c r="C738" s="7">
        <f>'Yard'!$P$97</f>
        <v>0</v>
      </c>
      <c r="D738" s="7">
        <f>'Yard'!$P$115</f>
        <v>0</v>
      </c>
      <c r="E738" s="9"/>
      <c r="F738" s="7">
        <f>'Reactive'!$P$80</f>
        <v>0</v>
      </c>
      <c r="G738" s="6">
        <f>IF(G$720&lt;&gt;0,(($B738*B$720+$C738*C$720+$D738*D$720+$F738*F$720))/G$720,0)</f>
        <v>0</v>
      </c>
      <c r="H738" s="17">
        <f>0.01*'Input'!$F$58*(E738*$E$720)+10*(B738*$B$720+C738*$C$720+D738*$D$720+F738*$F$720)</f>
        <v>0</v>
      </c>
      <c r="I738" s="6">
        <f>IF($G$720&lt;&gt;0,0.1*H738/$G$720,"")</f>
        <v>0</v>
      </c>
      <c r="J738" s="35">
        <f>IF($E$720&lt;&gt;0,H738/$E$720,"")</f>
        <v>0</v>
      </c>
      <c r="K738" s="10"/>
    </row>
    <row r="739" spans="1:11">
      <c r="A739" s="11" t="s">
        <v>1605</v>
      </c>
      <c r="B739" s="7">
        <f>'Yard'!$Q$70</f>
        <v>0</v>
      </c>
      <c r="C739" s="7">
        <f>'Yard'!$Q$97</f>
        <v>0</v>
      </c>
      <c r="D739" s="7">
        <f>'Yard'!$Q$115</f>
        <v>0</v>
      </c>
      <c r="E739" s="9"/>
      <c r="F739" s="7">
        <f>'Reactive'!$Q$80</f>
        <v>0</v>
      </c>
      <c r="G739" s="6">
        <f>IF(G$720&lt;&gt;0,(($B739*B$720+$C739*C$720+$D739*D$720+$F739*F$720))/G$720,0)</f>
        <v>0</v>
      </c>
      <c r="H739" s="17">
        <f>0.01*'Input'!$F$58*(E739*$E$720)+10*(B739*$B$720+C739*$C$720+D739*$D$720+F739*$F$720)</f>
        <v>0</v>
      </c>
      <c r="I739" s="6">
        <f>IF($G$720&lt;&gt;0,0.1*H739/$G$720,"")</f>
        <v>0</v>
      </c>
      <c r="J739" s="35">
        <f>IF($E$720&lt;&gt;0,H739/$E$720,"")</f>
        <v>0</v>
      </c>
      <c r="K739" s="10"/>
    </row>
    <row r="740" spans="1:11">
      <c r="A740" s="11" t="s">
        <v>1606</v>
      </c>
      <c r="B740" s="7">
        <f>'Yard'!$R$70</f>
        <v>0</v>
      </c>
      <c r="C740" s="7">
        <f>'Yard'!$R$97</f>
        <v>0</v>
      </c>
      <c r="D740" s="7">
        <f>'Yard'!$R$115</f>
        <v>0</v>
      </c>
      <c r="E740" s="9"/>
      <c r="F740" s="7">
        <f>'Reactive'!$R$80</f>
        <v>0</v>
      </c>
      <c r="G740" s="6">
        <f>IF(G$720&lt;&gt;0,(($B740*B$720+$C740*C$720+$D740*D$720+$F740*F$720))/G$720,0)</f>
        <v>0</v>
      </c>
      <c r="H740" s="17">
        <f>0.01*'Input'!$F$58*(E740*$E$720)+10*(B740*$B$720+C740*$C$720+D740*$D$720+F740*$F$720)</f>
        <v>0</v>
      </c>
      <c r="I740" s="6">
        <f>IF($G$720&lt;&gt;0,0.1*H740/$G$720,"")</f>
        <v>0</v>
      </c>
      <c r="J740" s="35">
        <f>IF($E$720&lt;&gt;0,H740/$E$720,"")</f>
        <v>0</v>
      </c>
      <c r="K740" s="10"/>
    </row>
    <row r="741" spans="1:11">
      <c r="A741" s="11" t="s">
        <v>1607</v>
      </c>
      <c r="B741" s="7">
        <f>'Yard'!$S$70</f>
        <v>0</v>
      </c>
      <c r="C741" s="7">
        <f>'Yard'!$S$97</f>
        <v>0</v>
      </c>
      <c r="D741" s="7">
        <f>'Yard'!$S$115</f>
        <v>0</v>
      </c>
      <c r="E741" s="9"/>
      <c r="F741" s="7">
        <f>'Reactive'!$S$80</f>
        <v>0</v>
      </c>
      <c r="G741" s="6">
        <f>IF(G$720&lt;&gt;0,(($B741*B$720+$C741*C$720+$D741*D$720+$F741*F$720))/G$720,0)</f>
        <v>0</v>
      </c>
      <c r="H741" s="17">
        <f>0.01*'Input'!$F$58*(E741*$E$720)+10*(B741*$B$720+C741*$C$720+D741*$D$720+F741*$F$720)</f>
        <v>0</v>
      </c>
      <c r="I741" s="6">
        <f>IF($G$720&lt;&gt;0,0.1*H741/$G$720,"")</f>
        <v>0</v>
      </c>
      <c r="J741" s="35">
        <f>IF($E$720&lt;&gt;0,H741/$E$720,"")</f>
        <v>0</v>
      </c>
      <c r="K741" s="10"/>
    </row>
    <row r="742" spans="1:11">
      <c r="A742" s="11" t="s">
        <v>1608</v>
      </c>
      <c r="B742" s="9"/>
      <c r="C742" s="9"/>
      <c r="D742" s="9"/>
      <c r="E742" s="37">
        <f>'Otex'!$B$143</f>
        <v>0</v>
      </c>
      <c r="F742" s="9"/>
      <c r="G742" s="6">
        <f>IF(G$720&lt;&gt;0,(($B742*B$720+$C742*C$720+$D742*D$720+$F742*F$720))/G$720,0)</f>
        <v>0</v>
      </c>
      <c r="H742" s="17">
        <f>0.01*'Input'!$F$58*(E742*$E$720)+10*(B742*$B$720+C742*$C$720+D742*$D$720+F742*$F$720)</f>
        <v>0</v>
      </c>
      <c r="I742" s="6">
        <f>IF($G$720&lt;&gt;0,0.1*H742/$G$720,"")</f>
        <v>0</v>
      </c>
      <c r="J742" s="35">
        <f>IF($E$720&lt;&gt;0,H742/$E$720,"")</f>
        <v>0</v>
      </c>
      <c r="K742" s="10"/>
    </row>
    <row r="743" spans="1:11">
      <c r="A743" s="11" t="s">
        <v>1609</v>
      </c>
      <c r="B743" s="9"/>
      <c r="C743" s="9"/>
      <c r="D743" s="9"/>
      <c r="E743" s="37">
        <f>'Otex'!$C$143</f>
        <v>0</v>
      </c>
      <c r="F743" s="9"/>
      <c r="G743" s="6">
        <f>IF(G$720&lt;&gt;0,(($B743*B$720+$C743*C$720+$D743*D$720+$F743*F$720))/G$720,0)</f>
        <v>0</v>
      </c>
      <c r="H743" s="17">
        <f>0.01*'Input'!$F$58*(E743*$E$720)+10*(B743*$B$720+C743*$C$720+D743*$D$720+F743*$F$720)</f>
        <v>0</v>
      </c>
      <c r="I743" s="6">
        <f>IF($G$720&lt;&gt;0,0.1*H743/$G$720,"")</f>
        <v>0</v>
      </c>
      <c r="J743" s="35">
        <f>IF($E$720&lt;&gt;0,H743/$E$720,"")</f>
        <v>0</v>
      </c>
      <c r="K743" s="10"/>
    </row>
    <row r="744" spans="1:11">
      <c r="A744" s="11" t="s">
        <v>1610</v>
      </c>
      <c r="B744" s="7">
        <f>'Adder'!$B$764</f>
        <v>0</v>
      </c>
      <c r="C744" s="7">
        <f>'Adder'!$C$764</f>
        <v>0</v>
      </c>
      <c r="D744" s="7">
        <f>'Adder'!$D$764</f>
        <v>0</v>
      </c>
      <c r="E744" s="37">
        <f>'Adder'!$E$764</f>
        <v>0</v>
      </c>
      <c r="F744" s="7">
        <f>'Adder'!$G$764</f>
        <v>0</v>
      </c>
      <c r="G744" s="6">
        <f>IF(G$720&lt;&gt;0,(($B744*B$720+$C744*C$720+$D744*D$720+$F744*F$720))/G$720,0)</f>
        <v>0</v>
      </c>
      <c r="H744" s="17">
        <f>0.01*'Input'!$F$58*(E744*$E$720)+10*(B744*$B$720+C744*$C$720+D744*$D$720+F744*$F$720)</f>
        <v>0</v>
      </c>
      <c r="I744" s="6">
        <f>IF($G$720&lt;&gt;0,0.1*H744/$G$720,"")</f>
        <v>0</v>
      </c>
      <c r="J744" s="35">
        <f>IF($E$720&lt;&gt;0,H744/$E$720,"")</f>
        <v>0</v>
      </c>
      <c r="K744" s="10"/>
    </row>
    <row r="745" spans="1:11">
      <c r="A745" s="11" t="s">
        <v>1611</v>
      </c>
      <c r="B745" s="7">
        <f>'Adjust'!$B$92</f>
        <v>0</v>
      </c>
      <c r="C745" s="7">
        <f>'Adjust'!$C$92</f>
        <v>0</v>
      </c>
      <c r="D745" s="7">
        <f>'Adjust'!$D$92</f>
        <v>0</v>
      </c>
      <c r="E745" s="37">
        <f>'Adjust'!$E$92</f>
        <v>0</v>
      </c>
      <c r="F745" s="7">
        <f>'Adjust'!$G$92</f>
        <v>0</v>
      </c>
      <c r="G745" s="6">
        <f>IF(G$720&lt;&gt;0,(($B745*B$720+$C745*C$720+$D745*D$720+$F745*F$720))/G$720,0)</f>
        <v>0</v>
      </c>
      <c r="H745" s="17">
        <f>0.01*'Input'!$F$58*(E745*$E$720)+10*(B745*$B$720+C745*$C$720+D745*$D$720+F745*$F$720)</f>
        <v>0</v>
      </c>
      <c r="I745" s="6">
        <f>IF($G$720&lt;&gt;0,0.1*H745/$G$720,"")</f>
        <v>0</v>
      </c>
      <c r="J745" s="35">
        <f>IF($E$720&lt;&gt;0,H745/$E$720,"")</f>
        <v>0</v>
      </c>
      <c r="K745" s="10"/>
    </row>
    <row r="747" spans="1:11">
      <c r="A747" s="11" t="s">
        <v>1612</v>
      </c>
      <c r="B747" s="6">
        <f>SUM($B$723:$B$745)</f>
        <v>0</v>
      </c>
      <c r="C747" s="6">
        <f>SUM($C$723:$C$745)</f>
        <v>0</v>
      </c>
      <c r="D747" s="6">
        <f>SUM($D$723:$D$745)</f>
        <v>0</v>
      </c>
      <c r="E747" s="35">
        <f>SUM($E$723:$E$745)</f>
        <v>0</v>
      </c>
      <c r="F747" s="6">
        <f>SUM($F$723:$F$745)</f>
        <v>0</v>
      </c>
      <c r="G747" s="6">
        <f>SUM(G$723:G$745)</f>
        <v>0</v>
      </c>
      <c r="H747" s="17">
        <f>SUM($H$723:$H$745)</f>
        <v>0</v>
      </c>
      <c r="I747" s="6">
        <f>SUM($I$723:$I$745)</f>
        <v>0</v>
      </c>
      <c r="J747" s="35">
        <f>SUM($J$723:$J$745)</f>
        <v>0</v>
      </c>
    </row>
    <row r="749" spans="1:11">
      <c r="A749" s="1" t="s">
        <v>193</v>
      </c>
    </row>
    <row r="751" spans="1:11">
      <c r="B751" s="3" t="s">
        <v>221</v>
      </c>
      <c r="C751" s="3" t="s">
        <v>224</v>
      </c>
      <c r="D751" s="3" t="s">
        <v>226</v>
      </c>
      <c r="E751" s="3" t="s">
        <v>1593</v>
      </c>
      <c r="F751" s="3" t="s">
        <v>1594</v>
      </c>
    </row>
    <row r="752" spans="1:11">
      <c r="A752" s="11" t="s">
        <v>193</v>
      </c>
      <c r="B752" s="33">
        <f>'Loads'!B$305</f>
        <v>0</v>
      </c>
      <c r="C752" s="33">
        <f>'Loads'!E$305</f>
        <v>0</v>
      </c>
      <c r="D752" s="33">
        <f>'Loads'!G$305</f>
        <v>0</v>
      </c>
      <c r="E752" s="33">
        <f>'Multi'!B$132</f>
        <v>0</v>
      </c>
      <c r="F752" s="6">
        <f>IF(C752,E752/C752,"")</f>
        <v>0</v>
      </c>
      <c r="G752" s="10"/>
    </row>
    <row r="754" spans="1:8">
      <c r="B754" s="3" t="s">
        <v>1416</v>
      </c>
      <c r="C754" s="3" t="s">
        <v>1419</v>
      </c>
      <c r="D754" s="3" t="s">
        <v>1047</v>
      </c>
      <c r="E754" s="3" t="s">
        <v>1595</v>
      </c>
      <c r="F754" s="3" t="s">
        <v>1565</v>
      </c>
      <c r="G754" s="3" t="s">
        <v>1596</v>
      </c>
    </row>
    <row r="755" spans="1:8">
      <c r="A755" s="11" t="s">
        <v>449</v>
      </c>
      <c r="B755" s="7">
        <f>'Yard'!$C$46</f>
        <v>0</v>
      </c>
      <c r="C755" s="9"/>
      <c r="D755" s="7">
        <f>'Reactive'!$C$81</f>
        <v>0</v>
      </c>
      <c r="E755" s="17">
        <f>0.01*'Input'!$F$58*(C755*$C$752)+10*(B755*$B$752+D755*$D$752)</f>
        <v>0</v>
      </c>
      <c r="F755" s="6">
        <f>IF($E$752&lt;&gt;0,0.1*E755/$E$752,"")</f>
        <v>0</v>
      </c>
      <c r="G755" s="35">
        <f>IF($C$752&lt;&gt;0,E755/$C$752,"")</f>
        <v>0</v>
      </c>
      <c r="H755" s="10"/>
    </row>
    <row r="756" spans="1:8">
      <c r="A756" s="11" t="s">
        <v>450</v>
      </c>
      <c r="B756" s="7">
        <f>'Yard'!$D$46</f>
        <v>0</v>
      </c>
      <c r="C756" s="9"/>
      <c r="D756" s="7">
        <f>'Reactive'!$D$81</f>
        <v>0</v>
      </c>
      <c r="E756" s="17">
        <f>0.01*'Input'!$F$58*(C756*$C$752)+10*(B756*$B$752+D756*$D$752)</f>
        <v>0</v>
      </c>
      <c r="F756" s="6">
        <f>IF($E$752&lt;&gt;0,0.1*E756/$E$752,"")</f>
        <v>0</v>
      </c>
      <c r="G756" s="35">
        <f>IF($C$752&lt;&gt;0,E756/$C$752,"")</f>
        <v>0</v>
      </c>
      <c r="H756" s="10"/>
    </row>
    <row r="757" spans="1:8">
      <c r="A757" s="11" t="s">
        <v>451</v>
      </c>
      <c r="B757" s="7">
        <f>'Yard'!$E$46</f>
        <v>0</v>
      </c>
      <c r="C757" s="9"/>
      <c r="D757" s="7">
        <f>'Reactive'!$E$81</f>
        <v>0</v>
      </c>
      <c r="E757" s="17">
        <f>0.01*'Input'!$F$58*(C757*$C$752)+10*(B757*$B$752+D757*$D$752)</f>
        <v>0</v>
      </c>
      <c r="F757" s="6">
        <f>IF($E$752&lt;&gt;0,0.1*E757/$E$752,"")</f>
        <v>0</v>
      </c>
      <c r="G757" s="35">
        <f>IF($C$752&lt;&gt;0,E757/$C$752,"")</f>
        <v>0</v>
      </c>
      <c r="H757" s="10"/>
    </row>
    <row r="758" spans="1:8">
      <c r="A758" s="11" t="s">
        <v>452</v>
      </c>
      <c r="B758" s="7">
        <f>'Yard'!$F$46</f>
        <v>0</v>
      </c>
      <c r="C758" s="9"/>
      <c r="D758" s="7">
        <f>'Reactive'!$F$81</f>
        <v>0</v>
      </c>
      <c r="E758" s="17">
        <f>0.01*'Input'!$F$58*(C758*$C$752)+10*(B758*$B$752+D758*$D$752)</f>
        <v>0</v>
      </c>
      <c r="F758" s="6">
        <f>IF($E$752&lt;&gt;0,0.1*E758/$E$752,"")</f>
        <v>0</v>
      </c>
      <c r="G758" s="35">
        <f>IF($C$752&lt;&gt;0,E758/$C$752,"")</f>
        <v>0</v>
      </c>
      <c r="H758" s="10"/>
    </row>
    <row r="759" spans="1:8">
      <c r="A759" s="11" t="s">
        <v>453</v>
      </c>
      <c r="B759" s="7">
        <f>'Yard'!$G$46</f>
        <v>0</v>
      </c>
      <c r="C759" s="9"/>
      <c r="D759" s="7">
        <f>'Reactive'!$G$81</f>
        <v>0</v>
      </c>
      <c r="E759" s="17">
        <f>0.01*'Input'!$F$58*(C759*$C$752)+10*(B759*$B$752+D759*$D$752)</f>
        <v>0</v>
      </c>
      <c r="F759" s="6">
        <f>IF($E$752&lt;&gt;0,0.1*E759/$E$752,"")</f>
        <v>0</v>
      </c>
      <c r="G759" s="35">
        <f>IF($C$752&lt;&gt;0,E759/$C$752,"")</f>
        <v>0</v>
      </c>
      <c r="H759" s="10"/>
    </row>
    <row r="760" spans="1:8">
      <c r="A760" s="11" t="s">
        <v>454</v>
      </c>
      <c r="B760" s="7">
        <f>'Yard'!$H$46</f>
        <v>0</v>
      </c>
      <c r="C760" s="9"/>
      <c r="D760" s="7">
        <f>'Reactive'!$H$81</f>
        <v>0</v>
      </c>
      <c r="E760" s="17">
        <f>0.01*'Input'!$F$58*(C760*$C$752)+10*(B760*$B$752+D760*$D$752)</f>
        <v>0</v>
      </c>
      <c r="F760" s="6">
        <f>IF($E$752&lt;&gt;0,0.1*E760/$E$752,"")</f>
        <v>0</v>
      </c>
      <c r="G760" s="35">
        <f>IF($C$752&lt;&gt;0,E760/$C$752,"")</f>
        <v>0</v>
      </c>
      <c r="H760" s="10"/>
    </row>
    <row r="761" spans="1:8">
      <c r="A761" s="11" t="s">
        <v>455</v>
      </c>
      <c r="B761" s="7">
        <f>'Yard'!$I$46</f>
        <v>0</v>
      </c>
      <c r="C761" s="9"/>
      <c r="D761" s="7">
        <f>'Reactive'!$I$81</f>
        <v>0</v>
      </c>
      <c r="E761" s="17">
        <f>0.01*'Input'!$F$58*(C761*$C$752)+10*(B761*$B$752+D761*$D$752)</f>
        <v>0</v>
      </c>
      <c r="F761" s="6">
        <f>IF($E$752&lt;&gt;0,0.1*E761/$E$752,"")</f>
        <v>0</v>
      </c>
      <c r="G761" s="35">
        <f>IF($C$752&lt;&gt;0,E761/$C$752,"")</f>
        <v>0</v>
      </c>
      <c r="H761" s="10"/>
    </row>
    <row r="762" spans="1:8">
      <c r="A762" s="11" t="s">
        <v>456</v>
      </c>
      <c r="B762" s="7">
        <f>'Yard'!$J$46</f>
        <v>0</v>
      </c>
      <c r="C762" s="9"/>
      <c r="D762" s="7">
        <f>'Reactive'!$J$81</f>
        <v>0</v>
      </c>
      <c r="E762" s="17">
        <f>0.01*'Input'!$F$58*(C762*$C$752)+10*(B762*$B$752+D762*$D$752)</f>
        <v>0</v>
      </c>
      <c r="F762" s="6">
        <f>IF($E$752&lt;&gt;0,0.1*E762/$E$752,"")</f>
        <v>0</v>
      </c>
      <c r="G762" s="35">
        <f>IF($C$752&lt;&gt;0,E762/$C$752,"")</f>
        <v>0</v>
      </c>
      <c r="H762" s="10"/>
    </row>
    <row r="763" spans="1:8">
      <c r="A763" s="11" t="s">
        <v>1597</v>
      </c>
      <c r="B763" s="9"/>
      <c r="C763" s="37">
        <f>'SM'!$B$125</f>
        <v>0</v>
      </c>
      <c r="D763" s="9"/>
      <c r="E763" s="17">
        <f>0.01*'Input'!$F$58*(C763*$C$752)+10*(B763*$B$752+D763*$D$752)</f>
        <v>0</v>
      </c>
      <c r="F763" s="6">
        <f>IF($E$752&lt;&gt;0,0.1*E763/$E$752,"")</f>
        <v>0</v>
      </c>
      <c r="G763" s="35">
        <f>IF($C$752&lt;&gt;0,E763/$C$752,"")</f>
        <v>0</v>
      </c>
      <c r="H763" s="10"/>
    </row>
    <row r="764" spans="1:8">
      <c r="A764" s="11" t="s">
        <v>1598</v>
      </c>
      <c r="B764" s="9"/>
      <c r="C764" s="37">
        <f>'SM'!$C$125</f>
        <v>0</v>
      </c>
      <c r="D764" s="9"/>
      <c r="E764" s="17">
        <f>0.01*'Input'!$F$58*(C764*$C$752)+10*(B764*$B$752+D764*$D$752)</f>
        <v>0</v>
      </c>
      <c r="F764" s="6">
        <f>IF($E$752&lt;&gt;0,0.1*E764/$E$752,"")</f>
        <v>0</v>
      </c>
      <c r="G764" s="35">
        <f>IF($C$752&lt;&gt;0,E764/$C$752,"")</f>
        <v>0</v>
      </c>
      <c r="H764" s="10"/>
    </row>
    <row r="765" spans="1:8">
      <c r="A765" s="11" t="s">
        <v>1599</v>
      </c>
      <c r="B765" s="7">
        <f>'Yard'!$K$46</f>
        <v>0</v>
      </c>
      <c r="C765" s="9"/>
      <c r="D765" s="7">
        <f>'Reactive'!$K$81</f>
        <v>0</v>
      </c>
      <c r="E765" s="17">
        <f>0.01*'Input'!$F$58*(C765*$C$752)+10*(B765*$B$752+D765*$D$752)</f>
        <v>0</v>
      </c>
      <c r="F765" s="6">
        <f>IF($E$752&lt;&gt;0,0.1*E765/$E$752,"")</f>
        <v>0</v>
      </c>
      <c r="G765" s="35">
        <f>IF($C$752&lt;&gt;0,E765/$C$752,"")</f>
        <v>0</v>
      </c>
      <c r="H765" s="10"/>
    </row>
    <row r="766" spans="1:8">
      <c r="A766" s="11" t="s">
        <v>1600</v>
      </c>
      <c r="B766" s="7">
        <f>'Yard'!$L$46</f>
        <v>0</v>
      </c>
      <c r="C766" s="9"/>
      <c r="D766" s="7">
        <f>'Reactive'!$L$81</f>
        <v>0</v>
      </c>
      <c r="E766" s="17">
        <f>0.01*'Input'!$F$58*(C766*$C$752)+10*(B766*$B$752+D766*$D$752)</f>
        <v>0</v>
      </c>
      <c r="F766" s="6">
        <f>IF($E$752&lt;&gt;0,0.1*E766/$E$752,"")</f>
        <v>0</v>
      </c>
      <c r="G766" s="35">
        <f>IF($C$752&lt;&gt;0,E766/$C$752,"")</f>
        <v>0</v>
      </c>
      <c r="H766" s="10"/>
    </row>
    <row r="767" spans="1:8">
      <c r="A767" s="11" t="s">
        <v>1601</v>
      </c>
      <c r="B767" s="7">
        <f>'Yard'!$M$46</f>
        <v>0</v>
      </c>
      <c r="C767" s="9"/>
      <c r="D767" s="7">
        <f>'Reactive'!$M$81</f>
        <v>0</v>
      </c>
      <c r="E767" s="17">
        <f>0.01*'Input'!$F$58*(C767*$C$752)+10*(B767*$B$752+D767*$D$752)</f>
        <v>0</v>
      </c>
      <c r="F767" s="6">
        <f>IF($E$752&lt;&gt;0,0.1*E767/$E$752,"")</f>
        <v>0</v>
      </c>
      <c r="G767" s="35">
        <f>IF($C$752&lt;&gt;0,E767/$C$752,"")</f>
        <v>0</v>
      </c>
      <c r="H767" s="10"/>
    </row>
    <row r="768" spans="1:8">
      <c r="A768" s="11" t="s">
        <v>1602</v>
      </c>
      <c r="B768" s="7">
        <f>'Yard'!$N$46</f>
        <v>0</v>
      </c>
      <c r="C768" s="9"/>
      <c r="D768" s="7">
        <f>'Reactive'!$N$81</f>
        <v>0</v>
      </c>
      <c r="E768" s="17">
        <f>0.01*'Input'!$F$58*(C768*$C$752)+10*(B768*$B$752+D768*$D$752)</f>
        <v>0</v>
      </c>
      <c r="F768" s="6">
        <f>IF($E$752&lt;&gt;0,0.1*E768/$E$752,"")</f>
        <v>0</v>
      </c>
      <c r="G768" s="35">
        <f>IF($C$752&lt;&gt;0,E768/$C$752,"")</f>
        <v>0</v>
      </c>
      <c r="H768" s="10"/>
    </row>
    <row r="769" spans="1:9">
      <c r="A769" s="11" t="s">
        <v>1603</v>
      </c>
      <c r="B769" s="7">
        <f>'Yard'!$O$46</f>
        <v>0</v>
      </c>
      <c r="C769" s="9"/>
      <c r="D769" s="7">
        <f>'Reactive'!$O$81</f>
        <v>0</v>
      </c>
      <c r="E769" s="17">
        <f>0.01*'Input'!$F$58*(C769*$C$752)+10*(B769*$B$752+D769*$D$752)</f>
        <v>0</v>
      </c>
      <c r="F769" s="6">
        <f>IF($E$752&lt;&gt;0,0.1*E769/$E$752,"")</f>
        <v>0</v>
      </c>
      <c r="G769" s="35">
        <f>IF($C$752&lt;&gt;0,E769/$C$752,"")</f>
        <v>0</v>
      </c>
      <c r="H769" s="10"/>
    </row>
    <row r="770" spans="1:9">
      <c r="A770" s="11" t="s">
        <v>1604</v>
      </c>
      <c r="B770" s="7">
        <f>'Yard'!$P$46</f>
        <v>0</v>
      </c>
      <c r="C770" s="9"/>
      <c r="D770" s="7">
        <f>'Reactive'!$P$81</f>
        <v>0</v>
      </c>
      <c r="E770" s="17">
        <f>0.01*'Input'!$F$58*(C770*$C$752)+10*(B770*$B$752+D770*$D$752)</f>
        <v>0</v>
      </c>
      <c r="F770" s="6">
        <f>IF($E$752&lt;&gt;0,0.1*E770/$E$752,"")</f>
        <v>0</v>
      </c>
      <c r="G770" s="35">
        <f>IF($C$752&lt;&gt;0,E770/$C$752,"")</f>
        <v>0</v>
      </c>
      <c r="H770" s="10"/>
    </row>
    <row r="771" spans="1:9">
      <c r="A771" s="11" t="s">
        <v>1605</v>
      </c>
      <c r="B771" s="7">
        <f>'Yard'!$Q$46</f>
        <v>0</v>
      </c>
      <c r="C771" s="9"/>
      <c r="D771" s="7">
        <f>'Reactive'!$Q$81</f>
        <v>0</v>
      </c>
      <c r="E771" s="17">
        <f>0.01*'Input'!$F$58*(C771*$C$752)+10*(B771*$B$752+D771*$D$752)</f>
        <v>0</v>
      </c>
      <c r="F771" s="6">
        <f>IF($E$752&lt;&gt;0,0.1*E771/$E$752,"")</f>
        <v>0</v>
      </c>
      <c r="G771" s="35">
        <f>IF($C$752&lt;&gt;0,E771/$C$752,"")</f>
        <v>0</v>
      </c>
      <c r="H771" s="10"/>
    </row>
    <row r="772" spans="1:9">
      <c r="A772" s="11" t="s">
        <v>1606</v>
      </c>
      <c r="B772" s="7">
        <f>'Yard'!$R$46</f>
        <v>0</v>
      </c>
      <c r="C772" s="9"/>
      <c r="D772" s="7">
        <f>'Reactive'!$R$81</f>
        <v>0</v>
      </c>
      <c r="E772" s="17">
        <f>0.01*'Input'!$F$58*(C772*$C$752)+10*(B772*$B$752+D772*$D$752)</f>
        <v>0</v>
      </c>
      <c r="F772" s="6">
        <f>IF($E$752&lt;&gt;0,0.1*E772/$E$752,"")</f>
        <v>0</v>
      </c>
      <c r="G772" s="35">
        <f>IF($C$752&lt;&gt;0,E772/$C$752,"")</f>
        <v>0</v>
      </c>
      <c r="H772" s="10"/>
    </row>
    <row r="773" spans="1:9">
      <c r="A773" s="11" t="s">
        <v>1607</v>
      </c>
      <c r="B773" s="7">
        <f>'Yard'!$S$46</f>
        <v>0</v>
      </c>
      <c r="C773" s="9"/>
      <c r="D773" s="7">
        <f>'Reactive'!$S$81</f>
        <v>0</v>
      </c>
      <c r="E773" s="17">
        <f>0.01*'Input'!$F$58*(C773*$C$752)+10*(B773*$B$752+D773*$D$752)</f>
        <v>0</v>
      </c>
      <c r="F773" s="6">
        <f>IF($E$752&lt;&gt;0,0.1*E773/$E$752,"")</f>
        <v>0</v>
      </c>
      <c r="G773" s="35">
        <f>IF($C$752&lt;&gt;0,E773/$C$752,"")</f>
        <v>0</v>
      </c>
      <c r="H773" s="10"/>
    </row>
    <row r="774" spans="1:9">
      <c r="A774" s="11" t="s">
        <v>1608</v>
      </c>
      <c r="B774" s="9"/>
      <c r="C774" s="37">
        <f>'Otex'!$B$144</f>
        <v>0</v>
      </c>
      <c r="D774" s="9"/>
      <c r="E774" s="17">
        <f>0.01*'Input'!$F$58*(C774*$C$752)+10*(B774*$B$752+D774*$D$752)</f>
        <v>0</v>
      </c>
      <c r="F774" s="6">
        <f>IF($E$752&lt;&gt;0,0.1*E774/$E$752,"")</f>
        <v>0</v>
      </c>
      <c r="G774" s="35">
        <f>IF($C$752&lt;&gt;0,E774/$C$752,"")</f>
        <v>0</v>
      </c>
      <c r="H774" s="10"/>
    </row>
    <row r="775" spans="1:9">
      <c r="A775" s="11" t="s">
        <v>1609</v>
      </c>
      <c r="B775" s="9"/>
      <c r="C775" s="37">
        <f>'Otex'!$C$144</f>
        <v>0</v>
      </c>
      <c r="D775" s="9"/>
      <c r="E775" s="17">
        <f>0.01*'Input'!$F$58*(C775*$C$752)+10*(B775*$B$752+D775*$D$752)</f>
        <v>0</v>
      </c>
      <c r="F775" s="6">
        <f>IF($E$752&lt;&gt;0,0.1*E775/$E$752,"")</f>
        <v>0</v>
      </c>
      <c r="G775" s="35">
        <f>IF($C$752&lt;&gt;0,E775/$C$752,"")</f>
        <v>0</v>
      </c>
      <c r="H775" s="10"/>
    </row>
    <row r="776" spans="1:9">
      <c r="A776" s="11" t="s">
        <v>1610</v>
      </c>
      <c r="B776" s="7">
        <f>'Adder'!$B$765</f>
        <v>0</v>
      </c>
      <c r="C776" s="37">
        <f>'Adder'!$E$765</f>
        <v>0</v>
      </c>
      <c r="D776" s="7">
        <f>'Adder'!$G$765</f>
        <v>0</v>
      </c>
      <c r="E776" s="17">
        <f>0.01*'Input'!$F$58*(C776*$C$752)+10*(B776*$B$752+D776*$D$752)</f>
        <v>0</v>
      </c>
      <c r="F776" s="6">
        <f>IF($E$752&lt;&gt;0,0.1*E776/$E$752,"")</f>
        <v>0</v>
      </c>
      <c r="G776" s="35">
        <f>IF($C$752&lt;&gt;0,E776/$C$752,"")</f>
        <v>0</v>
      </c>
      <c r="H776" s="10"/>
    </row>
    <row r="777" spans="1:9">
      <c r="A777" s="11" t="s">
        <v>1611</v>
      </c>
      <c r="B777" s="7">
        <f>'Adjust'!$B$93</f>
        <v>0</v>
      </c>
      <c r="C777" s="37">
        <f>'Adjust'!$E$93</f>
        <v>0</v>
      </c>
      <c r="D777" s="7">
        <f>'Adjust'!$G$93</f>
        <v>0</v>
      </c>
      <c r="E777" s="17">
        <f>0.01*'Input'!$F$58*(C777*$C$752)+10*(B777*$B$752+D777*$D$752)</f>
        <v>0</v>
      </c>
      <c r="F777" s="6">
        <f>IF($E$752&lt;&gt;0,0.1*E777/$E$752,"")</f>
        <v>0</v>
      </c>
      <c r="G777" s="35">
        <f>IF($C$752&lt;&gt;0,E777/$C$752,"")</f>
        <v>0</v>
      </c>
      <c r="H777" s="10"/>
    </row>
    <row r="779" spans="1:9">
      <c r="A779" s="11" t="s">
        <v>1612</v>
      </c>
      <c r="B779" s="6">
        <f>SUM($B$755:$B$777)</f>
        <v>0</v>
      </c>
      <c r="C779" s="35">
        <f>SUM($C$755:$C$777)</f>
        <v>0</v>
      </c>
      <c r="D779" s="6">
        <f>SUM($D$755:$D$777)</f>
        <v>0</v>
      </c>
      <c r="E779" s="17">
        <f>SUM($E$755:$E$777)</f>
        <v>0</v>
      </c>
      <c r="F779" s="6">
        <f>SUM($F$755:$F$777)</f>
        <v>0</v>
      </c>
      <c r="G779" s="35">
        <f>SUM($G$755:$G$777)</f>
        <v>0</v>
      </c>
    </row>
    <row r="781" spans="1:9">
      <c r="A781" s="1" t="s">
        <v>194</v>
      </c>
    </row>
    <row r="783" spans="1:9">
      <c r="B783" s="3" t="s">
        <v>221</v>
      </c>
      <c r="C783" s="3" t="s">
        <v>222</v>
      </c>
      <c r="D783" s="3" t="s">
        <v>223</v>
      </c>
      <c r="E783" s="3" t="s">
        <v>224</v>
      </c>
      <c r="F783" s="3" t="s">
        <v>226</v>
      </c>
      <c r="G783" s="3" t="s">
        <v>1593</v>
      </c>
      <c r="H783" s="3" t="s">
        <v>1594</v>
      </c>
    </row>
    <row r="784" spans="1:9">
      <c r="A784" s="11" t="s">
        <v>194</v>
      </c>
      <c r="B784" s="33">
        <f>'Loads'!B$306</f>
        <v>0</v>
      </c>
      <c r="C784" s="33">
        <f>'Loads'!C$306</f>
        <v>0</v>
      </c>
      <c r="D784" s="33">
        <f>'Loads'!D$306</f>
        <v>0</v>
      </c>
      <c r="E784" s="33">
        <f>'Loads'!E$306</f>
        <v>0</v>
      </c>
      <c r="F784" s="33">
        <f>'Loads'!G$306</f>
        <v>0</v>
      </c>
      <c r="G784" s="33">
        <f>'Multi'!B$133</f>
        <v>0</v>
      </c>
      <c r="H784" s="6">
        <f>IF(E784,G784/E784,"")</f>
        <v>0</v>
      </c>
      <c r="I784" s="10"/>
    </row>
    <row r="786" spans="1:11">
      <c r="B786" s="3" t="s">
        <v>1416</v>
      </c>
      <c r="C786" s="3" t="s">
        <v>1417</v>
      </c>
      <c r="D786" s="3" t="s">
        <v>1418</v>
      </c>
      <c r="E786" s="3" t="s">
        <v>1419</v>
      </c>
      <c r="F786" s="3" t="s">
        <v>1047</v>
      </c>
      <c r="G786" s="3" t="s">
        <v>1613</v>
      </c>
      <c r="H786" s="3" t="s">
        <v>1595</v>
      </c>
      <c r="I786" s="3" t="s">
        <v>1565</v>
      </c>
      <c r="J786" s="3" t="s">
        <v>1596</v>
      </c>
    </row>
    <row r="787" spans="1:11">
      <c r="A787" s="11" t="s">
        <v>449</v>
      </c>
      <c r="B787" s="7">
        <f>'Yard'!$C$71</f>
        <v>0</v>
      </c>
      <c r="C787" s="7">
        <f>'Yard'!$C$98</f>
        <v>0</v>
      </c>
      <c r="D787" s="7">
        <f>'Yard'!$C$116</f>
        <v>0</v>
      </c>
      <c r="E787" s="9"/>
      <c r="F787" s="7">
        <f>'Reactive'!$C$82</f>
        <v>0</v>
      </c>
      <c r="G787" s="6">
        <f>IF(G$784&lt;&gt;0,(($B787*B$784+$C787*C$784+$D787*D$784+$F787*F$784))/G$784,0)</f>
        <v>0</v>
      </c>
      <c r="H787" s="17">
        <f>0.01*'Input'!$F$58*(E787*$E$784)+10*(B787*$B$784+C787*$C$784+D787*$D$784+F787*$F$784)</f>
        <v>0</v>
      </c>
      <c r="I787" s="6">
        <f>IF($G$784&lt;&gt;0,0.1*H787/$G$784,"")</f>
        <v>0</v>
      </c>
      <c r="J787" s="35">
        <f>IF($E$784&lt;&gt;0,H787/$E$784,"")</f>
        <v>0</v>
      </c>
      <c r="K787" s="10"/>
    </row>
    <row r="788" spans="1:11">
      <c r="A788" s="11" t="s">
        <v>450</v>
      </c>
      <c r="B788" s="7">
        <f>'Yard'!$D$71</f>
        <v>0</v>
      </c>
      <c r="C788" s="7">
        <f>'Yard'!$D$98</f>
        <v>0</v>
      </c>
      <c r="D788" s="7">
        <f>'Yard'!$D$116</f>
        <v>0</v>
      </c>
      <c r="E788" s="9"/>
      <c r="F788" s="7">
        <f>'Reactive'!$D$82</f>
        <v>0</v>
      </c>
      <c r="G788" s="6">
        <f>IF(G$784&lt;&gt;0,(($B788*B$784+$C788*C$784+$D788*D$784+$F788*F$784))/G$784,0)</f>
        <v>0</v>
      </c>
      <c r="H788" s="17">
        <f>0.01*'Input'!$F$58*(E788*$E$784)+10*(B788*$B$784+C788*$C$784+D788*$D$784+F788*$F$784)</f>
        <v>0</v>
      </c>
      <c r="I788" s="6">
        <f>IF($G$784&lt;&gt;0,0.1*H788/$G$784,"")</f>
        <v>0</v>
      </c>
      <c r="J788" s="35">
        <f>IF($E$784&lt;&gt;0,H788/$E$784,"")</f>
        <v>0</v>
      </c>
      <c r="K788" s="10"/>
    </row>
    <row r="789" spans="1:11">
      <c r="A789" s="11" t="s">
        <v>451</v>
      </c>
      <c r="B789" s="7">
        <f>'Yard'!$E$71</f>
        <v>0</v>
      </c>
      <c r="C789" s="7">
        <f>'Yard'!$E$98</f>
        <v>0</v>
      </c>
      <c r="D789" s="7">
        <f>'Yard'!$E$116</f>
        <v>0</v>
      </c>
      <c r="E789" s="9"/>
      <c r="F789" s="7">
        <f>'Reactive'!$E$82</f>
        <v>0</v>
      </c>
      <c r="G789" s="6">
        <f>IF(G$784&lt;&gt;0,(($B789*B$784+$C789*C$784+$D789*D$784+$F789*F$784))/G$784,0)</f>
        <v>0</v>
      </c>
      <c r="H789" s="17">
        <f>0.01*'Input'!$F$58*(E789*$E$784)+10*(B789*$B$784+C789*$C$784+D789*$D$784+F789*$F$784)</f>
        <v>0</v>
      </c>
      <c r="I789" s="6">
        <f>IF($G$784&lt;&gt;0,0.1*H789/$G$784,"")</f>
        <v>0</v>
      </c>
      <c r="J789" s="35">
        <f>IF($E$784&lt;&gt;0,H789/$E$784,"")</f>
        <v>0</v>
      </c>
      <c r="K789" s="10"/>
    </row>
    <row r="790" spans="1:11">
      <c r="A790" s="11" t="s">
        <v>452</v>
      </c>
      <c r="B790" s="7">
        <f>'Yard'!$F$71</f>
        <v>0</v>
      </c>
      <c r="C790" s="7">
        <f>'Yard'!$F$98</f>
        <v>0</v>
      </c>
      <c r="D790" s="7">
        <f>'Yard'!$F$116</f>
        <v>0</v>
      </c>
      <c r="E790" s="9"/>
      <c r="F790" s="7">
        <f>'Reactive'!$F$82</f>
        <v>0</v>
      </c>
      <c r="G790" s="6">
        <f>IF(G$784&lt;&gt;0,(($B790*B$784+$C790*C$784+$D790*D$784+$F790*F$784))/G$784,0)</f>
        <v>0</v>
      </c>
      <c r="H790" s="17">
        <f>0.01*'Input'!$F$58*(E790*$E$784)+10*(B790*$B$784+C790*$C$784+D790*$D$784+F790*$F$784)</f>
        <v>0</v>
      </c>
      <c r="I790" s="6">
        <f>IF($G$784&lt;&gt;0,0.1*H790/$G$784,"")</f>
        <v>0</v>
      </c>
      <c r="J790" s="35">
        <f>IF($E$784&lt;&gt;0,H790/$E$784,"")</f>
        <v>0</v>
      </c>
      <c r="K790" s="10"/>
    </row>
    <row r="791" spans="1:11">
      <c r="A791" s="11" t="s">
        <v>453</v>
      </c>
      <c r="B791" s="7">
        <f>'Yard'!$G$71</f>
        <v>0</v>
      </c>
      <c r="C791" s="7">
        <f>'Yard'!$G$98</f>
        <v>0</v>
      </c>
      <c r="D791" s="7">
        <f>'Yard'!$G$116</f>
        <v>0</v>
      </c>
      <c r="E791" s="9"/>
      <c r="F791" s="7">
        <f>'Reactive'!$G$82</f>
        <v>0</v>
      </c>
      <c r="G791" s="6">
        <f>IF(G$784&lt;&gt;0,(($B791*B$784+$C791*C$784+$D791*D$784+$F791*F$784))/G$784,0)</f>
        <v>0</v>
      </c>
      <c r="H791" s="17">
        <f>0.01*'Input'!$F$58*(E791*$E$784)+10*(B791*$B$784+C791*$C$784+D791*$D$784+F791*$F$784)</f>
        <v>0</v>
      </c>
      <c r="I791" s="6">
        <f>IF($G$784&lt;&gt;0,0.1*H791/$G$784,"")</f>
        <v>0</v>
      </c>
      <c r="J791" s="35">
        <f>IF($E$784&lt;&gt;0,H791/$E$784,"")</f>
        <v>0</v>
      </c>
      <c r="K791" s="10"/>
    </row>
    <row r="792" spans="1:11">
      <c r="A792" s="11" t="s">
        <v>454</v>
      </c>
      <c r="B792" s="7">
        <f>'Yard'!$H$71</f>
        <v>0</v>
      </c>
      <c r="C792" s="7">
        <f>'Yard'!$H$98</f>
        <v>0</v>
      </c>
      <c r="D792" s="7">
        <f>'Yard'!$H$116</f>
        <v>0</v>
      </c>
      <c r="E792" s="9"/>
      <c r="F792" s="7">
        <f>'Reactive'!$H$82</f>
        <v>0</v>
      </c>
      <c r="G792" s="6">
        <f>IF(G$784&lt;&gt;0,(($B792*B$784+$C792*C$784+$D792*D$784+$F792*F$784))/G$784,0)</f>
        <v>0</v>
      </c>
      <c r="H792" s="17">
        <f>0.01*'Input'!$F$58*(E792*$E$784)+10*(B792*$B$784+C792*$C$784+D792*$D$784+F792*$F$784)</f>
        <v>0</v>
      </c>
      <c r="I792" s="6">
        <f>IF($G$784&lt;&gt;0,0.1*H792/$G$784,"")</f>
        <v>0</v>
      </c>
      <c r="J792" s="35">
        <f>IF($E$784&lt;&gt;0,H792/$E$784,"")</f>
        <v>0</v>
      </c>
      <c r="K792" s="10"/>
    </row>
    <row r="793" spans="1:11">
      <c r="A793" s="11" t="s">
        <v>455</v>
      </c>
      <c r="B793" s="7">
        <f>'Yard'!$I$71</f>
        <v>0</v>
      </c>
      <c r="C793" s="7">
        <f>'Yard'!$I$98</f>
        <v>0</v>
      </c>
      <c r="D793" s="7">
        <f>'Yard'!$I$116</f>
        <v>0</v>
      </c>
      <c r="E793" s="9"/>
      <c r="F793" s="7">
        <f>'Reactive'!$I$82</f>
        <v>0</v>
      </c>
      <c r="G793" s="6">
        <f>IF(G$784&lt;&gt;0,(($B793*B$784+$C793*C$784+$D793*D$784+$F793*F$784))/G$784,0)</f>
        <v>0</v>
      </c>
      <c r="H793" s="17">
        <f>0.01*'Input'!$F$58*(E793*$E$784)+10*(B793*$B$784+C793*$C$784+D793*$D$784+F793*$F$784)</f>
        <v>0</v>
      </c>
      <c r="I793" s="6">
        <f>IF($G$784&lt;&gt;0,0.1*H793/$G$784,"")</f>
        <v>0</v>
      </c>
      <c r="J793" s="35">
        <f>IF($E$784&lt;&gt;0,H793/$E$784,"")</f>
        <v>0</v>
      </c>
      <c r="K793" s="10"/>
    </row>
    <row r="794" spans="1:11">
      <c r="A794" s="11" t="s">
        <v>456</v>
      </c>
      <c r="B794" s="7">
        <f>'Yard'!$J$71</f>
        <v>0</v>
      </c>
      <c r="C794" s="7">
        <f>'Yard'!$J$98</f>
        <v>0</v>
      </c>
      <c r="D794" s="7">
        <f>'Yard'!$J$116</f>
        <v>0</v>
      </c>
      <c r="E794" s="9"/>
      <c r="F794" s="7">
        <f>'Reactive'!$J$82</f>
        <v>0</v>
      </c>
      <c r="G794" s="6">
        <f>IF(G$784&lt;&gt;0,(($B794*B$784+$C794*C$784+$D794*D$784+$F794*F$784))/G$784,0)</f>
        <v>0</v>
      </c>
      <c r="H794" s="17">
        <f>0.01*'Input'!$F$58*(E794*$E$784)+10*(B794*$B$784+C794*$C$784+D794*$D$784+F794*$F$784)</f>
        <v>0</v>
      </c>
      <c r="I794" s="6">
        <f>IF($G$784&lt;&gt;0,0.1*H794/$G$784,"")</f>
        <v>0</v>
      </c>
      <c r="J794" s="35">
        <f>IF($E$784&lt;&gt;0,H794/$E$784,"")</f>
        <v>0</v>
      </c>
      <c r="K794" s="10"/>
    </row>
    <row r="795" spans="1:11">
      <c r="A795" s="11" t="s">
        <v>1597</v>
      </c>
      <c r="B795" s="9"/>
      <c r="C795" s="9"/>
      <c r="D795" s="9"/>
      <c r="E795" s="37">
        <f>'SM'!$B$126</f>
        <v>0</v>
      </c>
      <c r="F795" s="9"/>
      <c r="G795" s="6">
        <f>IF(G$784&lt;&gt;0,(($B795*B$784+$C795*C$784+$D795*D$784+$F795*F$784))/G$784,0)</f>
        <v>0</v>
      </c>
      <c r="H795" s="17">
        <f>0.01*'Input'!$F$58*(E795*$E$784)+10*(B795*$B$784+C795*$C$784+D795*$D$784+F795*$F$784)</f>
        <v>0</v>
      </c>
      <c r="I795" s="6">
        <f>IF($G$784&lt;&gt;0,0.1*H795/$G$784,"")</f>
        <v>0</v>
      </c>
      <c r="J795" s="35">
        <f>IF($E$784&lt;&gt;0,H795/$E$784,"")</f>
        <v>0</v>
      </c>
      <c r="K795" s="10"/>
    </row>
    <row r="796" spans="1:11">
      <c r="A796" s="11" t="s">
        <v>1598</v>
      </c>
      <c r="B796" s="9"/>
      <c r="C796" s="9"/>
      <c r="D796" s="9"/>
      <c r="E796" s="37">
        <f>'SM'!$C$126</f>
        <v>0</v>
      </c>
      <c r="F796" s="9"/>
      <c r="G796" s="6">
        <f>IF(G$784&lt;&gt;0,(($B796*B$784+$C796*C$784+$D796*D$784+$F796*F$784))/G$784,0)</f>
        <v>0</v>
      </c>
      <c r="H796" s="17">
        <f>0.01*'Input'!$F$58*(E796*$E$784)+10*(B796*$B$784+C796*$C$784+D796*$D$784+F796*$F$784)</f>
        <v>0</v>
      </c>
      <c r="I796" s="6">
        <f>IF($G$784&lt;&gt;0,0.1*H796/$G$784,"")</f>
        <v>0</v>
      </c>
      <c r="J796" s="35">
        <f>IF($E$784&lt;&gt;0,H796/$E$784,"")</f>
        <v>0</v>
      </c>
      <c r="K796" s="10"/>
    </row>
    <row r="797" spans="1:11">
      <c r="A797" s="11" t="s">
        <v>1599</v>
      </c>
      <c r="B797" s="7">
        <f>'Yard'!$K$71</f>
        <v>0</v>
      </c>
      <c r="C797" s="7">
        <f>'Yard'!$K$98</f>
        <v>0</v>
      </c>
      <c r="D797" s="7">
        <f>'Yard'!$K$116</f>
        <v>0</v>
      </c>
      <c r="E797" s="9"/>
      <c r="F797" s="7">
        <f>'Reactive'!$K$82</f>
        <v>0</v>
      </c>
      <c r="G797" s="6">
        <f>IF(G$784&lt;&gt;0,(($B797*B$784+$C797*C$784+$D797*D$784+$F797*F$784))/G$784,0)</f>
        <v>0</v>
      </c>
      <c r="H797" s="17">
        <f>0.01*'Input'!$F$58*(E797*$E$784)+10*(B797*$B$784+C797*$C$784+D797*$D$784+F797*$F$784)</f>
        <v>0</v>
      </c>
      <c r="I797" s="6">
        <f>IF($G$784&lt;&gt;0,0.1*H797/$G$784,"")</f>
        <v>0</v>
      </c>
      <c r="J797" s="35">
        <f>IF($E$784&lt;&gt;0,H797/$E$784,"")</f>
        <v>0</v>
      </c>
      <c r="K797" s="10"/>
    </row>
    <row r="798" spans="1:11">
      <c r="A798" s="11" t="s">
        <v>1600</v>
      </c>
      <c r="B798" s="7">
        <f>'Yard'!$L$71</f>
        <v>0</v>
      </c>
      <c r="C798" s="7">
        <f>'Yard'!$L$98</f>
        <v>0</v>
      </c>
      <c r="D798" s="7">
        <f>'Yard'!$L$116</f>
        <v>0</v>
      </c>
      <c r="E798" s="9"/>
      <c r="F798" s="7">
        <f>'Reactive'!$L$82</f>
        <v>0</v>
      </c>
      <c r="G798" s="6">
        <f>IF(G$784&lt;&gt;0,(($B798*B$784+$C798*C$784+$D798*D$784+$F798*F$784))/G$784,0)</f>
        <v>0</v>
      </c>
      <c r="H798" s="17">
        <f>0.01*'Input'!$F$58*(E798*$E$784)+10*(B798*$B$784+C798*$C$784+D798*$D$784+F798*$F$784)</f>
        <v>0</v>
      </c>
      <c r="I798" s="6">
        <f>IF($G$784&lt;&gt;0,0.1*H798/$G$784,"")</f>
        <v>0</v>
      </c>
      <c r="J798" s="35">
        <f>IF($E$784&lt;&gt;0,H798/$E$784,"")</f>
        <v>0</v>
      </c>
      <c r="K798" s="10"/>
    </row>
    <row r="799" spans="1:11">
      <c r="A799" s="11" t="s">
        <v>1601</v>
      </c>
      <c r="B799" s="7">
        <f>'Yard'!$M$71</f>
        <v>0</v>
      </c>
      <c r="C799" s="7">
        <f>'Yard'!$M$98</f>
        <v>0</v>
      </c>
      <c r="D799" s="7">
        <f>'Yard'!$M$116</f>
        <v>0</v>
      </c>
      <c r="E799" s="9"/>
      <c r="F799" s="7">
        <f>'Reactive'!$M$82</f>
        <v>0</v>
      </c>
      <c r="G799" s="6">
        <f>IF(G$784&lt;&gt;0,(($B799*B$784+$C799*C$784+$D799*D$784+$F799*F$784))/G$784,0)</f>
        <v>0</v>
      </c>
      <c r="H799" s="17">
        <f>0.01*'Input'!$F$58*(E799*$E$784)+10*(B799*$B$784+C799*$C$784+D799*$D$784+F799*$F$784)</f>
        <v>0</v>
      </c>
      <c r="I799" s="6">
        <f>IF($G$784&lt;&gt;0,0.1*H799/$G$784,"")</f>
        <v>0</v>
      </c>
      <c r="J799" s="35">
        <f>IF($E$784&lt;&gt;0,H799/$E$784,"")</f>
        <v>0</v>
      </c>
      <c r="K799" s="10"/>
    </row>
    <row r="800" spans="1:11">
      <c r="A800" s="11" t="s">
        <v>1602</v>
      </c>
      <c r="B800" s="7">
        <f>'Yard'!$N$71</f>
        <v>0</v>
      </c>
      <c r="C800" s="7">
        <f>'Yard'!$N$98</f>
        <v>0</v>
      </c>
      <c r="D800" s="7">
        <f>'Yard'!$N$116</f>
        <v>0</v>
      </c>
      <c r="E800" s="9"/>
      <c r="F800" s="7">
        <f>'Reactive'!$N$82</f>
        <v>0</v>
      </c>
      <c r="G800" s="6">
        <f>IF(G$784&lt;&gt;0,(($B800*B$784+$C800*C$784+$D800*D$784+$F800*F$784))/G$784,0)</f>
        <v>0</v>
      </c>
      <c r="H800" s="17">
        <f>0.01*'Input'!$F$58*(E800*$E$784)+10*(B800*$B$784+C800*$C$784+D800*$D$784+F800*$F$784)</f>
        <v>0</v>
      </c>
      <c r="I800" s="6">
        <f>IF($G$784&lt;&gt;0,0.1*H800/$G$784,"")</f>
        <v>0</v>
      </c>
      <c r="J800" s="35">
        <f>IF($E$784&lt;&gt;0,H800/$E$784,"")</f>
        <v>0</v>
      </c>
      <c r="K800" s="10"/>
    </row>
    <row r="801" spans="1:11">
      <c r="A801" s="11" t="s">
        <v>1603</v>
      </c>
      <c r="B801" s="7">
        <f>'Yard'!$O$71</f>
        <v>0</v>
      </c>
      <c r="C801" s="7">
        <f>'Yard'!$O$98</f>
        <v>0</v>
      </c>
      <c r="D801" s="7">
        <f>'Yard'!$O$116</f>
        <v>0</v>
      </c>
      <c r="E801" s="9"/>
      <c r="F801" s="7">
        <f>'Reactive'!$O$82</f>
        <v>0</v>
      </c>
      <c r="G801" s="6">
        <f>IF(G$784&lt;&gt;0,(($B801*B$784+$C801*C$784+$D801*D$784+$F801*F$784))/G$784,0)</f>
        <v>0</v>
      </c>
      <c r="H801" s="17">
        <f>0.01*'Input'!$F$58*(E801*$E$784)+10*(B801*$B$784+C801*$C$784+D801*$D$784+F801*$F$784)</f>
        <v>0</v>
      </c>
      <c r="I801" s="6">
        <f>IF($G$784&lt;&gt;0,0.1*H801/$G$784,"")</f>
        <v>0</v>
      </c>
      <c r="J801" s="35">
        <f>IF($E$784&lt;&gt;0,H801/$E$784,"")</f>
        <v>0</v>
      </c>
      <c r="K801" s="10"/>
    </row>
    <row r="802" spans="1:11">
      <c r="A802" s="11" t="s">
        <v>1604</v>
      </c>
      <c r="B802" s="7">
        <f>'Yard'!$P$71</f>
        <v>0</v>
      </c>
      <c r="C802" s="7">
        <f>'Yard'!$P$98</f>
        <v>0</v>
      </c>
      <c r="D802" s="7">
        <f>'Yard'!$P$116</f>
        <v>0</v>
      </c>
      <c r="E802" s="9"/>
      <c r="F802" s="7">
        <f>'Reactive'!$P$82</f>
        <v>0</v>
      </c>
      <c r="G802" s="6">
        <f>IF(G$784&lt;&gt;0,(($B802*B$784+$C802*C$784+$D802*D$784+$F802*F$784))/G$784,0)</f>
        <v>0</v>
      </c>
      <c r="H802" s="17">
        <f>0.01*'Input'!$F$58*(E802*$E$784)+10*(B802*$B$784+C802*$C$784+D802*$D$784+F802*$F$784)</f>
        <v>0</v>
      </c>
      <c r="I802" s="6">
        <f>IF($G$784&lt;&gt;0,0.1*H802/$G$784,"")</f>
        <v>0</v>
      </c>
      <c r="J802" s="35">
        <f>IF($E$784&lt;&gt;0,H802/$E$784,"")</f>
        <v>0</v>
      </c>
      <c r="K802" s="10"/>
    </row>
    <row r="803" spans="1:11">
      <c r="A803" s="11" t="s">
        <v>1605</v>
      </c>
      <c r="B803" s="7">
        <f>'Yard'!$Q$71</f>
        <v>0</v>
      </c>
      <c r="C803" s="7">
        <f>'Yard'!$Q$98</f>
        <v>0</v>
      </c>
      <c r="D803" s="7">
        <f>'Yard'!$Q$116</f>
        <v>0</v>
      </c>
      <c r="E803" s="9"/>
      <c r="F803" s="7">
        <f>'Reactive'!$Q$82</f>
        <v>0</v>
      </c>
      <c r="G803" s="6">
        <f>IF(G$784&lt;&gt;0,(($B803*B$784+$C803*C$784+$D803*D$784+$F803*F$784))/G$784,0)</f>
        <v>0</v>
      </c>
      <c r="H803" s="17">
        <f>0.01*'Input'!$F$58*(E803*$E$784)+10*(B803*$B$784+C803*$C$784+D803*$D$784+F803*$F$784)</f>
        <v>0</v>
      </c>
      <c r="I803" s="6">
        <f>IF($G$784&lt;&gt;0,0.1*H803/$G$784,"")</f>
        <v>0</v>
      </c>
      <c r="J803" s="35">
        <f>IF($E$784&lt;&gt;0,H803/$E$784,"")</f>
        <v>0</v>
      </c>
      <c r="K803" s="10"/>
    </row>
    <row r="804" spans="1:11">
      <c r="A804" s="11" t="s">
        <v>1606</v>
      </c>
      <c r="B804" s="7">
        <f>'Yard'!$R$71</f>
        <v>0</v>
      </c>
      <c r="C804" s="7">
        <f>'Yard'!$R$98</f>
        <v>0</v>
      </c>
      <c r="D804" s="7">
        <f>'Yard'!$R$116</f>
        <v>0</v>
      </c>
      <c r="E804" s="9"/>
      <c r="F804" s="7">
        <f>'Reactive'!$R$82</f>
        <v>0</v>
      </c>
      <c r="G804" s="6">
        <f>IF(G$784&lt;&gt;0,(($B804*B$784+$C804*C$784+$D804*D$784+$F804*F$784))/G$784,0)</f>
        <v>0</v>
      </c>
      <c r="H804" s="17">
        <f>0.01*'Input'!$F$58*(E804*$E$784)+10*(B804*$B$784+C804*$C$784+D804*$D$784+F804*$F$784)</f>
        <v>0</v>
      </c>
      <c r="I804" s="6">
        <f>IF($G$784&lt;&gt;0,0.1*H804/$G$784,"")</f>
        <v>0</v>
      </c>
      <c r="J804" s="35">
        <f>IF($E$784&lt;&gt;0,H804/$E$784,"")</f>
        <v>0</v>
      </c>
      <c r="K804" s="10"/>
    </row>
    <row r="805" spans="1:11">
      <c r="A805" s="11" t="s">
        <v>1607</v>
      </c>
      <c r="B805" s="7">
        <f>'Yard'!$S$71</f>
        <v>0</v>
      </c>
      <c r="C805" s="7">
        <f>'Yard'!$S$98</f>
        <v>0</v>
      </c>
      <c r="D805" s="7">
        <f>'Yard'!$S$116</f>
        <v>0</v>
      </c>
      <c r="E805" s="9"/>
      <c r="F805" s="7">
        <f>'Reactive'!$S$82</f>
        <v>0</v>
      </c>
      <c r="G805" s="6">
        <f>IF(G$784&lt;&gt;0,(($B805*B$784+$C805*C$784+$D805*D$784+$F805*F$784))/G$784,0)</f>
        <v>0</v>
      </c>
      <c r="H805" s="17">
        <f>0.01*'Input'!$F$58*(E805*$E$784)+10*(B805*$B$784+C805*$C$784+D805*$D$784+F805*$F$784)</f>
        <v>0</v>
      </c>
      <c r="I805" s="6">
        <f>IF($G$784&lt;&gt;0,0.1*H805/$G$784,"")</f>
        <v>0</v>
      </c>
      <c r="J805" s="35">
        <f>IF($E$784&lt;&gt;0,H805/$E$784,"")</f>
        <v>0</v>
      </c>
      <c r="K805" s="10"/>
    </row>
    <row r="806" spans="1:11">
      <c r="A806" s="11" t="s">
        <v>1608</v>
      </c>
      <c r="B806" s="9"/>
      <c r="C806" s="9"/>
      <c r="D806" s="9"/>
      <c r="E806" s="37">
        <f>'Otex'!$B$145</f>
        <v>0</v>
      </c>
      <c r="F806" s="9"/>
      <c r="G806" s="6">
        <f>IF(G$784&lt;&gt;0,(($B806*B$784+$C806*C$784+$D806*D$784+$F806*F$784))/G$784,0)</f>
        <v>0</v>
      </c>
      <c r="H806" s="17">
        <f>0.01*'Input'!$F$58*(E806*$E$784)+10*(B806*$B$784+C806*$C$784+D806*$D$784+F806*$F$784)</f>
        <v>0</v>
      </c>
      <c r="I806" s="6">
        <f>IF($G$784&lt;&gt;0,0.1*H806/$G$784,"")</f>
        <v>0</v>
      </c>
      <c r="J806" s="35">
        <f>IF($E$784&lt;&gt;0,H806/$E$784,"")</f>
        <v>0</v>
      </c>
      <c r="K806" s="10"/>
    </row>
    <row r="807" spans="1:11">
      <c r="A807" s="11" t="s">
        <v>1609</v>
      </c>
      <c r="B807" s="9"/>
      <c r="C807" s="9"/>
      <c r="D807" s="9"/>
      <c r="E807" s="37">
        <f>'Otex'!$C$145</f>
        <v>0</v>
      </c>
      <c r="F807" s="9"/>
      <c r="G807" s="6">
        <f>IF(G$784&lt;&gt;0,(($B807*B$784+$C807*C$784+$D807*D$784+$F807*F$784))/G$784,0)</f>
        <v>0</v>
      </c>
      <c r="H807" s="17">
        <f>0.01*'Input'!$F$58*(E807*$E$784)+10*(B807*$B$784+C807*$C$784+D807*$D$784+F807*$F$784)</f>
        <v>0</v>
      </c>
      <c r="I807" s="6">
        <f>IF($G$784&lt;&gt;0,0.1*H807/$G$784,"")</f>
        <v>0</v>
      </c>
      <c r="J807" s="35">
        <f>IF($E$784&lt;&gt;0,H807/$E$784,"")</f>
        <v>0</v>
      </c>
      <c r="K807" s="10"/>
    </row>
    <row r="808" spans="1:11">
      <c r="A808" s="11" t="s">
        <v>1610</v>
      </c>
      <c r="B808" s="7">
        <f>'Adder'!$B$766</f>
        <v>0</v>
      </c>
      <c r="C808" s="7">
        <f>'Adder'!$C$766</f>
        <v>0</v>
      </c>
      <c r="D808" s="7">
        <f>'Adder'!$D$766</f>
        <v>0</v>
      </c>
      <c r="E808" s="37">
        <f>'Adder'!$E$766</f>
        <v>0</v>
      </c>
      <c r="F808" s="7">
        <f>'Adder'!$G$766</f>
        <v>0</v>
      </c>
      <c r="G808" s="6">
        <f>IF(G$784&lt;&gt;0,(($B808*B$784+$C808*C$784+$D808*D$784+$F808*F$784))/G$784,0)</f>
        <v>0</v>
      </c>
      <c r="H808" s="17">
        <f>0.01*'Input'!$F$58*(E808*$E$784)+10*(B808*$B$784+C808*$C$784+D808*$D$784+F808*$F$784)</f>
        <v>0</v>
      </c>
      <c r="I808" s="6">
        <f>IF($G$784&lt;&gt;0,0.1*H808/$G$784,"")</f>
        <v>0</v>
      </c>
      <c r="J808" s="35">
        <f>IF($E$784&lt;&gt;0,H808/$E$784,"")</f>
        <v>0</v>
      </c>
      <c r="K808" s="10"/>
    </row>
    <row r="809" spans="1:11">
      <c r="A809" s="11" t="s">
        <v>1611</v>
      </c>
      <c r="B809" s="7">
        <f>'Adjust'!$B$94</f>
        <v>0</v>
      </c>
      <c r="C809" s="7">
        <f>'Adjust'!$C$94</f>
        <v>0</v>
      </c>
      <c r="D809" s="7">
        <f>'Adjust'!$D$94</f>
        <v>0</v>
      </c>
      <c r="E809" s="37">
        <f>'Adjust'!$E$94</f>
        <v>0</v>
      </c>
      <c r="F809" s="7">
        <f>'Adjust'!$G$94</f>
        <v>0</v>
      </c>
      <c r="G809" s="6">
        <f>IF(G$784&lt;&gt;0,(($B809*B$784+$C809*C$784+$D809*D$784+$F809*F$784))/G$784,0)</f>
        <v>0</v>
      </c>
      <c r="H809" s="17">
        <f>0.01*'Input'!$F$58*(E809*$E$784)+10*(B809*$B$784+C809*$C$784+D809*$D$784+F809*$F$784)</f>
        <v>0</v>
      </c>
      <c r="I809" s="6">
        <f>IF($G$784&lt;&gt;0,0.1*H809/$G$784,"")</f>
        <v>0</v>
      </c>
      <c r="J809" s="35">
        <f>IF($E$784&lt;&gt;0,H809/$E$784,"")</f>
        <v>0</v>
      </c>
      <c r="K809" s="10"/>
    </row>
    <row r="811" spans="1:11">
      <c r="A811" s="11" t="s">
        <v>1612</v>
      </c>
      <c r="B811" s="6">
        <f>SUM($B$787:$B$809)</f>
        <v>0</v>
      </c>
      <c r="C811" s="6">
        <f>SUM($C$787:$C$809)</f>
        <v>0</v>
      </c>
      <c r="D811" s="6">
        <f>SUM($D$787:$D$809)</f>
        <v>0</v>
      </c>
      <c r="E811" s="35">
        <f>SUM($E$787:$E$809)</f>
        <v>0</v>
      </c>
      <c r="F811" s="6">
        <f>SUM($F$787:$F$809)</f>
        <v>0</v>
      </c>
      <c r="G811" s="6">
        <f>SUM(G$787:G$809)</f>
        <v>0</v>
      </c>
      <c r="H811" s="17">
        <f>SUM($H$787:$H$809)</f>
        <v>0</v>
      </c>
      <c r="I811" s="6">
        <f>SUM($I$787:$I$809)</f>
        <v>0</v>
      </c>
      <c r="J811" s="35">
        <f>SUM($J$787:$J$809)</f>
        <v>0</v>
      </c>
    </row>
  </sheetData>
  <sheetProtection sheet="1" objects="1" scenarios="1"/>
  <hyperlinks>
    <hyperlink ref="A4" location="'M-ATW'!B33" display="Domestic Unrestricted"/>
    <hyperlink ref="A5" location="'M-ATW'!B65" display="Domestic Two Rate"/>
    <hyperlink ref="A6" location="'M-ATW'!B97" display="Domestic Off Peak (related MPAN)"/>
    <hyperlink ref="A7" location="'M-ATW'!B125" display="Small Non Domestic Unrestricted"/>
    <hyperlink ref="A8" location="'M-ATW'!B157" display="Small Non Domestic Two Rate"/>
    <hyperlink ref="A9" location="'M-ATW'!B189" display="Small Non Domestic Off Peak (related MPAN)"/>
    <hyperlink ref="A10" location="'M-ATW'!B217" display="LV Medium Non-Domestic"/>
    <hyperlink ref="A11" location="'M-ATW'!B249" display="LV Sub Medium Non-Domestic"/>
    <hyperlink ref="A12" location="'M-ATW'!B281" display="HV Medium Non-Domestic"/>
    <hyperlink ref="A13" location="'M-ATW'!B313" display="LV HH Metered"/>
    <hyperlink ref="A14" location="'M-ATW'!B345" display="LV Sub HH Metered"/>
    <hyperlink ref="A15" location="'M-ATW'!B377" display="HV HH Metered"/>
    <hyperlink ref="A16" location="'M-ATW'!B409" display="NHH UMS category A"/>
    <hyperlink ref="A17" location="'M-ATW'!B439" display="NHH UMS category B"/>
    <hyperlink ref="A18" location="'M-ATW'!B469" display="NHH UMS category C"/>
    <hyperlink ref="A19" location="'M-ATW'!B499" display="NHH UMS category D"/>
    <hyperlink ref="A20" location="'M-ATW'!B529" display="LV UMS (Pseudo HH Metered)"/>
    <hyperlink ref="A21" location="'M-ATW'!B559" display="LV Generation NHH"/>
    <hyperlink ref="A22" location="'M-ATW'!B591" display="LV Sub Generation NHH"/>
    <hyperlink ref="A23" location="'M-ATW'!B623" display="LV Generation Intermittent"/>
    <hyperlink ref="A24" location="'M-ATW'!B655" display="LV Generation Non-Intermittent"/>
    <hyperlink ref="A25" location="'M-ATW'!B687" display="LV Sub Generation Intermittent"/>
    <hyperlink ref="A26" location="'M-ATW'!B719" display="LV Sub Generation Non-Intermittent"/>
    <hyperlink ref="A27" location="'M-ATW'!B751" display="HV Generation Intermittent"/>
    <hyperlink ref="A28" location="'M-ATW'!B783" display="HV Generation Non-Intermittent"/>
  </hyperlinks>
  <pageMargins left="0.7" right="0.7" top="0.75" bottom="0.75" header="0.3" footer="0.3"/>
  <pageSetup fitToHeight="0" orientation="landscape"/>
  <headerFooter>
    <oddHeader>&amp;L&amp;A&amp;Cr6432&amp;R&amp;P of &amp;N</oddHeader>
    <oddFooter>&amp;F</oddFooter>
  </headerFooter>
  <rowBreaks count="25" manualBreakCount="25">
    <brk id="29" max="16383" man="1"/>
    <brk id="61" max="16383" man="1"/>
    <brk id="93" max="16383" man="1"/>
    <brk id="121" max="16383" man="1"/>
    <brk id="153" max="16383" man="1"/>
    <brk id="185" max="16383" man="1"/>
    <brk id="213" max="16383" man="1"/>
    <brk id="245" max="16383" man="1"/>
    <brk id="277" max="16383" man="1"/>
    <brk id="309" max="16383" man="1"/>
    <brk id="341" max="16383" man="1"/>
    <brk id="373" max="16383" man="1"/>
    <brk id="405" max="16383" man="1"/>
    <brk id="435" max="16383" man="1"/>
    <brk id="465" max="16383" man="1"/>
    <brk id="495" max="16383" man="1"/>
    <brk id="525" max="16383" man="1"/>
    <brk id="555" max="16383" man="1"/>
    <brk id="587" max="16383" man="1"/>
    <brk id="619" max="16383" man="1"/>
    <brk id="651" max="16383" man="1"/>
    <brk id="683" max="16383" man="1"/>
    <brk id="715" max="16383" man="1"/>
    <brk id="747" max="16383" man="1"/>
    <brk id="779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26">
      <c r="A1" s="1">
        <f>"Revenue matrix"&amp;" for "&amp;'Input'!B7&amp;" in "&amp;'Input'!C7&amp;" ("&amp;'Input'!D7&amp;")"</f>
        <v>0</v>
      </c>
    </row>
    <row r="2" spans="1:26">
      <c r="A2" s="2" t="s">
        <v>1502</v>
      </c>
    </row>
    <row r="4" spans="1:26">
      <c r="A4" s="1" t="s">
        <v>1616</v>
      </c>
    </row>
    <row r="6" spans="1:26">
      <c r="B6" s="27" t="s">
        <v>1617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6">
      <c r="B7" s="3" t="s">
        <v>304</v>
      </c>
      <c r="C7" s="3" t="s">
        <v>305</v>
      </c>
      <c r="D7" s="3" t="s">
        <v>306</v>
      </c>
      <c r="E7" s="3" t="s">
        <v>307</v>
      </c>
      <c r="F7" s="3" t="s">
        <v>308</v>
      </c>
      <c r="G7" s="3" t="s">
        <v>309</v>
      </c>
      <c r="H7" s="3" t="s">
        <v>310</v>
      </c>
      <c r="I7" s="3" t="s">
        <v>311</v>
      </c>
      <c r="J7" s="3" t="s">
        <v>461</v>
      </c>
      <c r="K7" s="3" t="s">
        <v>473</v>
      </c>
      <c r="L7" s="3" t="s">
        <v>292</v>
      </c>
      <c r="M7" s="3" t="s">
        <v>810</v>
      </c>
      <c r="N7" s="3" t="s">
        <v>811</v>
      </c>
      <c r="O7" s="3" t="s">
        <v>812</v>
      </c>
      <c r="P7" s="3" t="s">
        <v>813</v>
      </c>
      <c r="Q7" s="3" t="s">
        <v>814</v>
      </c>
      <c r="R7" s="3" t="s">
        <v>815</v>
      </c>
      <c r="S7" s="3" t="s">
        <v>816</v>
      </c>
      <c r="T7" s="3" t="s">
        <v>817</v>
      </c>
      <c r="U7" s="3" t="s">
        <v>818</v>
      </c>
      <c r="V7" s="3" t="s">
        <v>819</v>
      </c>
      <c r="W7" s="3" t="s">
        <v>1610</v>
      </c>
      <c r="X7" s="3" t="s">
        <v>1611</v>
      </c>
      <c r="Y7" s="3" t="s">
        <v>1618</v>
      </c>
    </row>
    <row r="8" spans="1:26">
      <c r="A8" s="11" t="s">
        <v>172</v>
      </c>
      <c r="B8" s="33">
        <f>'M-ATW'!$D$37</f>
        <v>0</v>
      </c>
      <c r="C8" s="33">
        <f>'M-ATW'!$D$38</f>
        <v>0</v>
      </c>
      <c r="D8" s="33">
        <f>'M-ATW'!$D$39</f>
        <v>0</v>
      </c>
      <c r="E8" s="33">
        <f>'M-ATW'!$D$40</f>
        <v>0</v>
      </c>
      <c r="F8" s="33">
        <f>'M-ATW'!$D$41</f>
        <v>0</v>
      </c>
      <c r="G8" s="33">
        <f>'M-ATW'!$D$42</f>
        <v>0</v>
      </c>
      <c r="H8" s="33">
        <f>'M-ATW'!$D$43</f>
        <v>0</v>
      </c>
      <c r="I8" s="33">
        <f>'M-ATW'!$D$44</f>
        <v>0</v>
      </c>
      <c r="J8" s="33">
        <f>'M-ATW'!$D$45</f>
        <v>0</v>
      </c>
      <c r="K8" s="33">
        <f>'M-ATW'!$D$46</f>
        <v>0</v>
      </c>
      <c r="L8" s="33">
        <f>'M-ATW'!$D$47</f>
        <v>0</v>
      </c>
      <c r="M8" s="33">
        <f>'M-ATW'!$D$48</f>
        <v>0</v>
      </c>
      <c r="N8" s="33">
        <f>'M-ATW'!$D$49</f>
        <v>0</v>
      </c>
      <c r="O8" s="33">
        <f>'M-ATW'!$D$50</f>
        <v>0</v>
      </c>
      <c r="P8" s="33">
        <f>'M-ATW'!$D$51</f>
        <v>0</v>
      </c>
      <c r="Q8" s="33">
        <f>'M-ATW'!$D$52</f>
        <v>0</v>
      </c>
      <c r="R8" s="33">
        <f>'M-ATW'!$D$53</f>
        <v>0</v>
      </c>
      <c r="S8" s="33">
        <f>'M-ATW'!$D$54</f>
        <v>0</v>
      </c>
      <c r="T8" s="33">
        <f>'M-ATW'!$D$55</f>
        <v>0</v>
      </c>
      <c r="U8" s="33">
        <f>'M-ATW'!$D$56</f>
        <v>0</v>
      </c>
      <c r="V8" s="33">
        <f>'M-ATW'!$D$57</f>
        <v>0</v>
      </c>
      <c r="W8" s="33">
        <f>'M-ATW'!$D$58</f>
        <v>0</v>
      </c>
      <c r="X8" s="33">
        <f>'M-ATW'!$D$59</f>
        <v>0</v>
      </c>
      <c r="Y8" s="17">
        <f>SUM($B8:$X8)</f>
        <v>0</v>
      </c>
      <c r="Z8" s="10"/>
    </row>
    <row r="9" spans="1:26">
      <c r="A9" s="11" t="s">
        <v>173</v>
      </c>
      <c r="B9" s="33">
        <f>'M-ATW'!$F$69</f>
        <v>0</v>
      </c>
      <c r="C9" s="33">
        <f>'M-ATW'!$F$70</f>
        <v>0</v>
      </c>
      <c r="D9" s="33">
        <f>'M-ATW'!$F$71</f>
        <v>0</v>
      </c>
      <c r="E9" s="33">
        <f>'M-ATW'!$F$72</f>
        <v>0</v>
      </c>
      <c r="F9" s="33">
        <f>'M-ATW'!$F$73</f>
        <v>0</v>
      </c>
      <c r="G9" s="33">
        <f>'M-ATW'!$F$74</f>
        <v>0</v>
      </c>
      <c r="H9" s="33">
        <f>'M-ATW'!$F$75</f>
        <v>0</v>
      </c>
      <c r="I9" s="33">
        <f>'M-ATW'!$F$76</f>
        <v>0</v>
      </c>
      <c r="J9" s="33">
        <f>'M-ATW'!$F$77</f>
        <v>0</v>
      </c>
      <c r="K9" s="33">
        <f>'M-ATW'!$F$78</f>
        <v>0</v>
      </c>
      <c r="L9" s="33">
        <f>'M-ATW'!$F$79</f>
        <v>0</v>
      </c>
      <c r="M9" s="33">
        <f>'M-ATW'!$F$80</f>
        <v>0</v>
      </c>
      <c r="N9" s="33">
        <f>'M-ATW'!$F$81</f>
        <v>0</v>
      </c>
      <c r="O9" s="33">
        <f>'M-ATW'!$F$82</f>
        <v>0</v>
      </c>
      <c r="P9" s="33">
        <f>'M-ATW'!$F$83</f>
        <v>0</v>
      </c>
      <c r="Q9" s="33">
        <f>'M-ATW'!$F$84</f>
        <v>0</v>
      </c>
      <c r="R9" s="33">
        <f>'M-ATW'!$F$85</f>
        <v>0</v>
      </c>
      <c r="S9" s="33">
        <f>'M-ATW'!$F$86</f>
        <v>0</v>
      </c>
      <c r="T9" s="33">
        <f>'M-ATW'!$F$87</f>
        <v>0</v>
      </c>
      <c r="U9" s="33">
        <f>'M-ATW'!$F$88</f>
        <v>0</v>
      </c>
      <c r="V9" s="33">
        <f>'M-ATW'!$F$89</f>
        <v>0</v>
      </c>
      <c r="W9" s="33">
        <f>'M-ATW'!$F$90</f>
        <v>0</v>
      </c>
      <c r="X9" s="33">
        <f>'M-ATW'!$F$91</f>
        <v>0</v>
      </c>
      <c r="Y9" s="17">
        <f>SUM($B9:$X9)</f>
        <v>0</v>
      </c>
      <c r="Z9" s="10"/>
    </row>
    <row r="10" spans="1:26">
      <c r="A10" s="11" t="s">
        <v>210</v>
      </c>
      <c r="B10" s="33">
        <f>'M-ATW'!$C$101</f>
        <v>0</v>
      </c>
      <c r="C10" s="33">
        <f>'M-ATW'!$C$102</f>
        <v>0</v>
      </c>
      <c r="D10" s="33">
        <f>'M-ATW'!$C$103</f>
        <v>0</v>
      </c>
      <c r="E10" s="33">
        <f>'M-ATW'!$C$104</f>
        <v>0</v>
      </c>
      <c r="F10" s="33">
        <f>'M-ATW'!$C$105</f>
        <v>0</v>
      </c>
      <c r="G10" s="33">
        <f>'M-ATW'!$C$106</f>
        <v>0</v>
      </c>
      <c r="H10" s="33">
        <f>'M-ATW'!$C$107</f>
        <v>0</v>
      </c>
      <c r="I10" s="33">
        <f>'M-ATW'!$C$108</f>
        <v>0</v>
      </c>
      <c r="J10" s="9"/>
      <c r="K10" s="9"/>
      <c r="L10" s="33">
        <f>'M-ATW'!$C$109</f>
        <v>0</v>
      </c>
      <c r="M10" s="33">
        <f>'M-ATW'!$C$110</f>
        <v>0</v>
      </c>
      <c r="N10" s="33">
        <f>'M-ATW'!$C$111</f>
        <v>0</v>
      </c>
      <c r="O10" s="33">
        <f>'M-ATW'!$C$112</f>
        <v>0</v>
      </c>
      <c r="P10" s="33">
        <f>'M-ATW'!$C$113</f>
        <v>0</v>
      </c>
      <c r="Q10" s="33">
        <f>'M-ATW'!$C$114</f>
        <v>0</v>
      </c>
      <c r="R10" s="33">
        <f>'M-ATW'!$C$115</f>
        <v>0</v>
      </c>
      <c r="S10" s="33">
        <f>'M-ATW'!$C$116</f>
        <v>0</v>
      </c>
      <c r="T10" s="33">
        <f>'M-ATW'!$C$117</f>
        <v>0</v>
      </c>
      <c r="U10" s="9"/>
      <c r="V10" s="9"/>
      <c r="W10" s="33">
        <f>'M-ATW'!$C$118</f>
        <v>0</v>
      </c>
      <c r="X10" s="33">
        <f>'M-ATW'!$C$119</f>
        <v>0</v>
      </c>
      <c r="Y10" s="17">
        <f>SUM($B10:$X10)</f>
        <v>0</v>
      </c>
      <c r="Z10" s="10"/>
    </row>
    <row r="11" spans="1:26">
      <c r="A11" s="11" t="s">
        <v>174</v>
      </c>
      <c r="B11" s="33">
        <f>'M-ATW'!$D$129</f>
        <v>0</v>
      </c>
      <c r="C11" s="33">
        <f>'M-ATW'!$D$130</f>
        <v>0</v>
      </c>
      <c r="D11" s="33">
        <f>'M-ATW'!$D$131</f>
        <v>0</v>
      </c>
      <c r="E11" s="33">
        <f>'M-ATW'!$D$132</f>
        <v>0</v>
      </c>
      <c r="F11" s="33">
        <f>'M-ATW'!$D$133</f>
        <v>0</v>
      </c>
      <c r="G11" s="33">
        <f>'M-ATW'!$D$134</f>
        <v>0</v>
      </c>
      <c r="H11" s="33">
        <f>'M-ATW'!$D$135</f>
        <v>0</v>
      </c>
      <c r="I11" s="33">
        <f>'M-ATW'!$D$136</f>
        <v>0</v>
      </c>
      <c r="J11" s="33">
        <f>'M-ATW'!$D$137</f>
        <v>0</v>
      </c>
      <c r="K11" s="33">
        <f>'M-ATW'!$D$138</f>
        <v>0</v>
      </c>
      <c r="L11" s="33">
        <f>'M-ATW'!$D$139</f>
        <v>0</v>
      </c>
      <c r="M11" s="33">
        <f>'M-ATW'!$D$140</f>
        <v>0</v>
      </c>
      <c r="N11" s="33">
        <f>'M-ATW'!$D$141</f>
        <v>0</v>
      </c>
      <c r="O11" s="33">
        <f>'M-ATW'!$D$142</f>
        <v>0</v>
      </c>
      <c r="P11" s="33">
        <f>'M-ATW'!$D$143</f>
        <v>0</v>
      </c>
      <c r="Q11" s="33">
        <f>'M-ATW'!$D$144</f>
        <v>0</v>
      </c>
      <c r="R11" s="33">
        <f>'M-ATW'!$D$145</f>
        <v>0</v>
      </c>
      <c r="S11" s="33">
        <f>'M-ATW'!$D$146</f>
        <v>0</v>
      </c>
      <c r="T11" s="33">
        <f>'M-ATW'!$D$147</f>
        <v>0</v>
      </c>
      <c r="U11" s="33">
        <f>'M-ATW'!$D$148</f>
        <v>0</v>
      </c>
      <c r="V11" s="33">
        <f>'M-ATW'!$D$149</f>
        <v>0</v>
      </c>
      <c r="W11" s="33">
        <f>'M-ATW'!$D$150</f>
        <v>0</v>
      </c>
      <c r="X11" s="33">
        <f>'M-ATW'!$D$151</f>
        <v>0</v>
      </c>
      <c r="Y11" s="17">
        <f>SUM($B11:$X11)</f>
        <v>0</v>
      </c>
      <c r="Z11" s="10"/>
    </row>
    <row r="12" spans="1:26">
      <c r="A12" s="11" t="s">
        <v>175</v>
      </c>
      <c r="B12" s="33">
        <f>'M-ATW'!$F$161</f>
        <v>0</v>
      </c>
      <c r="C12" s="33">
        <f>'M-ATW'!$F$162</f>
        <v>0</v>
      </c>
      <c r="D12" s="33">
        <f>'M-ATW'!$F$163</f>
        <v>0</v>
      </c>
      <c r="E12" s="33">
        <f>'M-ATW'!$F$164</f>
        <v>0</v>
      </c>
      <c r="F12" s="33">
        <f>'M-ATW'!$F$165</f>
        <v>0</v>
      </c>
      <c r="G12" s="33">
        <f>'M-ATW'!$F$166</f>
        <v>0</v>
      </c>
      <c r="H12" s="33">
        <f>'M-ATW'!$F$167</f>
        <v>0</v>
      </c>
      <c r="I12" s="33">
        <f>'M-ATW'!$F$168</f>
        <v>0</v>
      </c>
      <c r="J12" s="33">
        <f>'M-ATW'!$F$169</f>
        <v>0</v>
      </c>
      <c r="K12" s="33">
        <f>'M-ATW'!$F$170</f>
        <v>0</v>
      </c>
      <c r="L12" s="33">
        <f>'M-ATW'!$F$171</f>
        <v>0</v>
      </c>
      <c r="M12" s="33">
        <f>'M-ATW'!$F$172</f>
        <v>0</v>
      </c>
      <c r="N12" s="33">
        <f>'M-ATW'!$F$173</f>
        <v>0</v>
      </c>
      <c r="O12" s="33">
        <f>'M-ATW'!$F$174</f>
        <v>0</v>
      </c>
      <c r="P12" s="33">
        <f>'M-ATW'!$F$175</f>
        <v>0</v>
      </c>
      <c r="Q12" s="33">
        <f>'M-ATW'!$F$176</f>
        <v>0</v>
      </c>
      <c r="R12" s="33">
        <f>'M-ATW'!$F$177</f>
        <v>0</v>
      </c>
      <c r="S12" s="33">
        <f>'M-ATW'!$F$178</f>
        <v>0</v>
      </c>
      <c r="T12" s="33">
        <f>'M-ATW'!$F$179</f>
        <v>0</v>
      </c>
      <c r="U12" s="33">
        <f>'M-ATW'!$F$180</f>
        <v>0</v>
      </c>
      <c r="V12" s="33">
        <f>'M-ATW'!$F$181</f>
        <v>0</v>
      </c>
      <c r="W12" s="33">
        <f>'M-ATW'!$F$182</f>
        <v>0</v>
      </c>
      <c r="X12" s="33">
        <f>'M-ATW'!$F$183</f>
        <v>0</v>
      </c>
      <c r="Y12" s="17">
        <f>SUM($B12:$X12)</f>
        <v>0</v>
      </c>
      <c r="Z12" s="10"/>
    </row>
    <row r="13" spans="1:26">
      <c r="A13" s="11" t="s">
        <v>211</v>
      </c>
      <c r="B13" s="33">
        <f>'M-ATW'!$C$193</f>
        <v>0</v>
      </c>
      <c r="C13" s="33">
        <f>'M-ATW'!$C$194</f>
        <v>0</v>
      </c>
      <c r="D13" s="33">
        <f>'M-ATW'!$C$195</f>
        <v>0</v>
      </c>
      <c r="E13" s="33">
        <f>'M-ATW'!$C$196</f>
        <v>0</v>
      </c>
      <c r="F13" s="33">
        <f>'M-ATW'!$C$197</f>
        <v>0</v>
      </c>
      <c r="G13" s="33">
        <f>'M-ATW'!$C$198</f>
        <v>0</v>
      </c>
      <c r="H13" s="33">
        <f>'M-ATW'!$C$199</f>
        <v>0</v>
      </c>
      <c r="I13" s="33">
        <f>'M-ATW'!$C$200</f>
        <v>0</v>
      </c>
      <c r="J13" s="9"/>
      <c r="K13" s="9"/>
      <c r="L13" s="33">
        <f>'M-ATW'!$C$201</f>
        <v>0</v>
      </c>
      <c r="M13" s="33">
        <f>'M-ATW'!$C$202</f>
        <v>0</v>
      </c>
      <c r="N13" s="33">
        <f>'M-ATW'!$C$203</f>
        <v>0</v>
      </c>
      <c r="O13" s="33">
        <f>'M-ATW'!$C$204</f>
        <v>0</v>
      </c>
      <c r="P13" s="33">
        <f>'M-ATW'!$C$205</f>
        <v>0</v>
      </c>
      <c r="Q13" s="33">
        <f>'M-ATW'!$C$206</f>
        <v>0</v>
      </c>
      <c r="R13" s="33">
        <f>'M-ATW'!$C$207</f>
        <v>0</v>
      </c>
      <c r="S13" s="33">
        <f>'M-ATW'!$C$208</f>
        <v>0</v>
      </c>
      <c r="T13" s="33">
        <f>'M-ATW'!$C$209</f>
        <v>0</v>
      </c>
      <c r="U13" s="9"/>
      <c r="V13" s="9"/>
      <c r="W13" s="33">
        <f>'M-ATW'!$C$210</f>
        <v>0</v>
      </c>
      <c r="X13" s="33">
        <f>'M-ATW'!$C$211</f>
        <v>0</v>
      </c>
      <c r="Y13" s="17">
        <f>SUM($B13:$X13)</f>
        <v>0</v>
      </c>
      <c r="Z13" s="10"/>
    </row>
    <row r="14" spans="1:26">
      <c r="A14" s="11" t="s">
        <v>176</v>
      </c>
      <c r="B14" s="33">
        <f>'M-ATW'!$F$221</f>
        <v>0</v>
      </c>
      <c r="C14" s="33">
        <f>'M-ATW'!$F$222</f>
        <v>0</v>
      </c>
      <c r="D14" s="33">
        <f>'M-ATW'!$F$223</f>
        <v>0</v>
      </c>
      <c r="E14" s="33">
        <f>'M-ATW'!$F$224</f>
        <v>0</v>
      </c>
      <c r="F14" s="33">
        <f>'M-ATW'!$F$225</f>
        <v>0</v>
      </c>
      <c r="G14" s="33">
        <f>'M-ATW'!$F$226</f>
        <v>0</v>
      </c>
      <c r="H14" s="33">
        <f>'M-ATW'!$F$227</f>
        <v>0</v>
      </c>
      <c r="I14" s="33">
        <f>'M-ATW'!$F$228</f>
        <v>0</v>
      </c>
      <c r="J14" s="33">
        <f>'M-ATW'!$F$229</f>
        <v>0</v>
      </c>
      <c r="K14" s="33">
        <f>'M-ATW'!$F$230</f>
        <v>0</v>
      </c>
      <c r="L14" s="33">
        <f>'M-ATW'!$F$231</f>
        <v>0</v>
      </c>
      <c r="M14" s="33">
        <f>'M-ATW'!$F$232</f>
        <v>0</v>
      </c>
      <c r="N14" s="33">
        <f>'M-ATW'!$F$233</f>
        <v>0</v>
      </c>
      <c r="O14" s="33">
        <f>'M-ATW'!$F$234</f>
        <v>0</v>
      </c>
      <c r="P14" s="33">
        <f>'M-ATW'!$F$235</f>
        <v>0</v>
      </c>
      <c r="Q14" s="33">
        <f>'M-ATW'!$F$236</f>
        <v>0</v>
      </c>
      <c r="R14" s="33">
        <f>'M-ATW'!$F$237</f>
        <v>0</v>
      </c>
      <c r="S14" s="33">
        <f>'M-ATW'!$F$238</f>
        <v>0</v>
      </c>
      <c r="T14" s="33">
        <f>'M-ATW'!$F$239</f>
        <v>0</v>
      </c>
      <c r="U14" s="33">
        <f>'M-ATW'!$F$240</f>
        <v>0</v>
      </c>
      <c r="V14" s="33">
        <f>'M-ATW'!$F$241</f>
        <v>0</v>
      </c>
      <c r="W14" s="33">
        <f>'M-ATW'!$F$242</f>
        <v>0</v>
      </c>
      <c r="X14" s="33">
        <f>'M-ATW'!$F$243</f>
        <v>0</v>
      </c>
      <c r="Y14" s="17">
        <f>SUM($B14:$X14)</f>
        <v>0</v>
      </c>
      <c r="Z14" s="10"/>
    </row>
    <row r="15" spans="1:26">
      <c r="A15" s="11" t="s">
        <v>177</v>
      </c>
      <c r="B15" s="33">
        <f>'M-ATW'!$F$253</f>
        <v>0</v>
      </c>
      <c r="C15" s="33">
        <f>'M-ATW'!$F$254</f>
        <v>0</v>
      </c>
      <c r="D15" s="33">
        <f>'M-ATW'!$F$255</f>
        <v>0</v>
      </c>
      <c r="E15" s="33">
        <f>'M-ATW'!$F$256</f>
        <v>0</v>
      </c>
      <c r="F15" s="33">
        <f>'M-ATW'!$F$257</f>
        <v>0</v>
      </c>
      <c r="G15" s="33">
        <f>'M-ATW'!$F$258</f>
        <v>0</v>
      </c>
      <c r="H15" s="33">
        <f>'M-ATW'!$F$259</f>
        <v>0</v>
      </c>
      <c r="I15" s="33">
        <f>'M-ATW'!$F$260</f>
        <v>0</v>
      </c>
      <c r="J15" s="33">
        <f>'M-ATW'!$F$261</f>
        <v>0</v>
      </c>
      <c r="K15" s="33">
        <f>'M-ATW'!$F$262</f>
        <v>0</v>
      </c>
      <c r="L15" s="33">
        <f>'M-ATW'!$F$263</f>
        <v>0</v>
      </c>
      <c r="M15" s="33">
        <f>'M-ATW'!$F$264</f>
        <v>0</v>
      </c>
      <c r="N15" s="33">
        <f>'M-ATW'!$F$265</f>
        <v>0</v>
      </c>
      <c r="O15" s="33">
        <f>'M-ATW'!$F$266</f>
        <v>0</v>
      </c>
      <c r="P15" s="33">
        <f>'M-ATW'!$F$267</f>
        <v>0</v>
      </c>
      <c r="Q15" s="33">
        <f>'M-ATW'!$F$268</f>
        <v>0</v>
      </c>
      <c r="R15" s="33">
        <f>'M-ATW'!$F$269</f>
        <v>0</v>
      </c>
      <c r="S15" s="33">
        <f>'M-ATW'!$F$270</f>
        <v>0</v>
      </c>
      <c r="T15" s="33">
        <f>'M-ATW'!$F$271</f>
        <v>0</v>
      </c>
      <c r="U15" s="33">
        <f>'M-ATW'!$F$272</f>
        <v>0</v>
      </c>
      <c r="V15" s="33">
        <f>'M-ATW'!$F$273</f>
        <v>0</v>
      </c>
      <c r="W15" s="33">
        <f>'M-ATW'!$F$274</f>
        <v>0</v>
      </c>
      <c r="X15" s="33">
        <f>'M-ATW'!$F$275</f>
        <v>0</v>
      </c>
      <c r="Y15" s="17">
        <f>SUM($B15:$X15)</f>
        <v>0</v>
      </c>
      <c r="Z15" s="10"/>
    </row>
    <row r="16" spans="1:26">
      <c r="A16" s="11" t="s">
        <v>191</v>
      </c>
      <c r="B16" s="33">
        <f>'M-ATW'!$F$285</f>
        <v>0</v>
      </c>
      <c r="C16" s="33">
        <f>'M-ATW'!$F$286</f>
        <v>0</v>
      </c>
      <c r="D16" s="33">
        <f>'M-ATW'!$F$287</f>
        <v>0</v>
      </c>
      <c r="E16" s="33">
        <f>'M-ATW'!$F$288</f>
        <v>0</v>
      </c>
      <c r="F16" s="33">
        <f>'M-ATW'!$F$289</f>
        <v>0</v>
      </c>
      <c r="G16" s="33">
        <f>'M-ATW'!$F$290</f>
        <v>0</v>
      </c>
      <c r="H16" s="33">
        <f>'M-ATW'!$F$291</f>
        <v>0</v>
      </c>
      <c r="I16" s="33">
        <f>'M-ATW'!$F$292</f>
        <v>0</v>
      </c>
      <c r="J16" s="33">
        <f>'M-ATW'!$F$293</f>
        <v>0</v>
      </c>
      <c r="K16" s="33">
        <f>'M-ATW'!$F$294</f>
        <v>0</v>
      </c>
      <c r="L16" s="33">
        <f>'M-ATW'!$F$295</f>
        <v>0</v>
      </c>
      <c r="M16" s="33">
        <f>'M-ATW'!$F$296</f>
        <v>0</v>
      </c>
      <c r="N16" s="33">
        <f>'M-ATW'!$F$297</f>
        <v>0</v>
      </c>
      <c r="O16" s="33">
        <f>'M-ATW'!$F$298</f>
        <v>0</v>
      </c>
      <c r="P16" s="33">
        <f>'M-ATW'!$F$299</f>
        <v>0</v>
      </c>
      <c r="Q16" s="33">
        <f>'M-ATW'!$F$300</f>
        <v>0</v>
      </c>
      <c r="R16" s="33">
        <f>'M-ATW'!$F$301</f>
        <v>0</v>
      </c>
      <c r="S16" s="33">
        <f>'M-ATW'!$F$302</f>
        <v>0</v>
      </c>
      <c r="T16" s="33">
        <f>'M-ATW'!$F$303</f>
        <v>0</v>
      </c>
      <c r="U16" s="33">
        <f>'M-ATW'!$F$304</f>
        <v>0</v>
      </c>
      <c r="V16" s="33">
        <f>'M-ATW'!$F$305</f>
        <v>0</v>
      </c>
      <c r="W16" s="33">
        <f>'M-ATW'!$F$306</f>
        <v>0</v>
      </c>
      <c r="X16" s="33">
        <f>'M-ATW'!$F$307</f>
        <v>0</v>
      </c>
      <c r="Y16" s="17">
        <f>SUM($B16:$X16)</f>
        <v>0</v>
      </c>
      <c r="Z16" s="10"/>
    </row>
    <row r="17" spans="1:26">
      <c r="A17" s="11" t="s">
        <v>178</v>
      </c>
      <c r="B17" s="33">
        <f>'M-ATW'!$I$317</f>
        <v>0</v>
      </c>
      <c r="C17" s="33">
        <f>'M-ATW'!$I$318</f>
        <v>0</v>
      </c>
      <c r="D17" s="33">
        <f>'M-ATW'!$I$319</f>
        <v>0</v>
      </c>
      <c r="E17" s="33">
        <f>'M-ATW'!$I$320</f>
        <v>0</v>
      </c>
      <c r="F17" s="33">
        <f>'M-ATW'!$I$321</f>
        <v>0</v>
      </c>
      <c r="G17" s="33">
        <f>'M-ATW'!$I$322</f>
        <v>0</v>
      </c>
      <c r="H17" s="33">
        <f>'M-ATW'!$I$323</f>
        <v>0</v>
      </c>
      <c r="I17" s="33">
        <f>'M-ATW'!$I$324</f>
        <v>0</v>
      </c>
      <c r="J17" s="33">
        <f>'M-ATW'!$I$325</f>
        <v>0</v>
      </c>
      <c r="K17" s="33">
        <f>'M-ATW'!$I$326</f>
        <v>0</v>
      </c>
      <c r="L17" s="33">
        <f>'M-ATW'!$I$327</f>
        <v>0</v>
      </c>
      <c r="M17" s="33">
        <f>'M-ATW'!$I$328</f>
        <v>0</v>
      </c>
      <c r="N17" s="33">
        <f>'M-ATW'!$I$329</f>
        <v>0</v>
      </c>
      <c r="O17" s="33">
        <f>'M-ATW'!$I$330</f>
        <v>0</v>
      </c>
      <c r="P17" s="33">
        <f>'M-ATW'!$I$331</f>
        <v>0</v>
      </c>
      <c r="Q17" s="33">
        <f>'M-ATW'!$I$332</f>
        <v>0</v>
      </c>
      <c r="R17" s="33">
        <f>'M-ATW'!$I$333</f>
        <v>0</v>
      </c>
      <c r="S17" s="33">
        <f>'M-ATW'!$I$334</f>
        <v>0</v>
      </c>
      <c r="T17" s="33">
        <f>'M-ATW'!$I$335</f>
        <v>0</v>
      </c>
      <c r="U17" s="33">
        <f>'M-ATW'!$I$336</f>
        <v>0</v>
      </c>
      <c r="V17" s="33">
        <f>'M-ATW'!$I$337</f>
        <v>0</v>
      </c>
      <c r="W17" s="33">
        <f>'M-ATW'!$I$338</f>
        <v>0</v>
      </c>
      <c r="X17" s="33">
        <f>'M-ATW'!$I$339</f>
        <v>0</v>
      </c>
      <c r="Y17" s="17">
        <f>SUM($B17:$X17)</f>
        <v>0</v>
      </c>
      <c r="Z17" s="10"/>
    </row>
    <row r="18" spans="1:26">
      <c r="A18" s="11" t="s">
        <v>179</v>
      </c>
      <c r="B18" s="33">
        <f>'M-ATW'!$I$349</f>
        <v>0</v>
      </c>
      <c r="C18" s="33">
        <f>'M-ATW'!$I$350</f>
        <v>0</v>
      </c>
      <c r="D18" s="33">
        <f>'M-ATW'!$I$351</f>
        <v>0</v>
      </c>
      <c r="E18" s="33">
        <f>'M-ATW'!$I$352</f>
        <v>0</v>
      </c>
      <c r="F18" s="33">
        <f>'M-ATW'!$I$353</f>
        <v>0</v>
      </c>
      <c r="G18" s="33">
        <f>'M-ATW'!$I$354</f>
        <v>0</v>
      </c>
      <c r="H18" s="33">
        <f>'M-ATW'!$I$355</f>
        <v>0</v>
      </c>
      <c r="I18" s="33">
        <f>'M-ATW'!$I$356</f>
        <v>0</v>
      </c>
      <c r="J18" s="33">
        <f>'M-ATW'!$I$357</f>
        <v>0</v>
      </c>
      <c r="K18" s="33">
        <f>'M-ATW'!$I$358</f>
        <v>0</v>
      </c>
      <c r="L18" s="33">
        <f>'M-ATW'!$I$359</f>
        <v>0</v>
      </c>
      <c r="M18" s="33">
        <f>'M-ATW'!$I$360</f>
        <v>0</v>
      </c>
      <c r="N18" s="33">
        <f>'M-ATW'!$I$361</f>
        <v>0</v>
      </c>
      <c r="O18" s="33">
        <f>'M-ATW'!$I$362</f>
        <v>0</v>
      </c>
      <c r="P18" s="33">
        <f>'M-ATW'!$I$363</f>
        <v>0</v>
      </c>
      <c r="Q18" s="33">
        <f>'M-ATW'!$I$364</f>
        <v>0</v>
      </c>
      <c r="R18" s="33">
        <f>'M-ATW'!$I$365</f>
        <v>0</v>
      </c>
      <c r="S18" s="33">
        <f>'M-ATW'!$I$366</f>
        <v>0</v>
      </c>
      <c r="T18" s="33">
        <f>'M-ATW'!$I$367</f>
        <v>0</v>
      </c>
      <c r="U18" s="33">
        <f>'M-ATW'!$I$368</f>
        <v>0</v>
      </c>
      <c r="V18" s="33">
        <f>'M-ATW'!$I$369</f>
        <v>0</v>
      </c>
      <c r="W18" s="33">
        <f>'M-ATW'!$I$370</f>
        <v>0</v>
      </c>
      <c r="X18" s="33">
        <f>'M-ATW'!$I$371</f>
        <v>0</v>
      </c>
      <c r="Y18" s="17">
        <f>SUM($B18:$X18)</f>
        <v>0</v>
      </c>
      <c r="Z18" s="10"/>
    </row>
    <row r="19" spans="1:26">
      <c r="A19" s="11" t="s">
        <v>192</v>
      </c>
      <c r="B19" s="33">
        <f>'M-ATW'!$I$381</f>
        <v>0</v>
      </c>
      <c r="C19" s="33">
        <f>'M-ATW'!$I$382</f>
        <v>0</v>
      </c>
      <c r="D19" s="33">
        <f>'M-ATW'!$I$383</f>
        <v>0</v>
      </c>
      <c r="E19" s="33">
        <f>'M-ATW'!$I$384</f>
        <v>0</v>
      </c>
      <c r="F19" s="33">
        <f>'M-ATW'!$I$385</f>
        <v>0</v>
      </c>
      <c r="G19" s="33">
        <f>'M-ATW'!$I$386</f>
        <v>0</v>
      </c>
      <c r="H19" s="33">
        <f>'M-ATW'!$I$387</f>
        <v>0</v>
      </c>
      <c r="I19" s="33">
        <f>'M-ATW'!$I$388</f>
        <v>0</v>
      </c>
      <c r="J19" s="33">
        <f>'M-ATW'!$I$389</f>
        <v>0</v>
      </c>
      <c r="K19" s="33">
        <f>'M-ATW'!$I$390</f>
        <v>0</v>
      </c>
      <c r="L19" s="33">
        <f>'M-ATW'!$I$391</f>
        <v>0</v>
      </c>
      <c r="M19" s="33">
        <f>'M-ATW'!$I$392</f>
        <v>0</v>
      </c>
      <c r="N19" s="33">
        <f>'M-ATW'!$I$393</f>
        <v>0</v>
      </c>
      <c r="O19" s="33">
        <f>'M-ATW'!$I$394</f>
        <v>0</v>
      </c>
      <c r="P19" s="33">
        <f>'M-ATW'!$I$395</f>
        <v>0</v>
      </c>
      <c r="Q19" s="33">
        <f>'M-ATW'!$I$396</f>
        <v>0</v>
      </c>
      <c r="R19" s="33">
        <f>'M-ATW'!$I$397</f>
        <v>0</v>
      </c>
      <c r="S19" s="33">
        <f>'M-ATW'!$I$398</f>
        <v>0</v>
      </c>
      <c r="T19" s="33">
        <f>'M-ATW'!$I$399</f>
        <v>0</v>
      </c>
      <c r="U19" s="33">
        <f>'M-ATW'!$I$400</f>
        <v>0</v>
      </c>
      <c r="V19" s="33">
        <f>'M-ATW'!$I$401</f>
        <v>0</v>
      </c>
      <c r="W19" s="33">
        <f>'M-ATW'!$I$402</f>
        <v>0</v>
      </c>
      <c r="X19" s="33">
        <f>'M-ATW'!$I$403</f>
        <v>0</v>
      </c>
      <c r="Y19" s="17">
        <f>SUM($B19:$X19)</f>
        <v>0</v>
      </c>
      <c r="Z19" s="10"/>
    </row>
    <row r="20" spans="1:26">
      <c r="A20" s="11" t="s">
        <v>212</v>
      </c>
      <c r="B20" s="33">
        <f>'M-ATW'!$C$413</f>
        <v>0</v>
      </c>
      <c r="C20" s="33">
        <f>'M-ATW'!$C$414</f>
        <v>0</v>
      </c>
      <c r="D20" s="33">
        <f>'M-ATW'!$C$415</f>
        <v>0</v>
      </c>
      <c r="E20" s="33">
        <f>'M-ATW'!$C$416</f>
        <v>0</v>
      </c>
      <c r="F20" s="33">
        <f>'M-ATW'!$C$417</f>
        <v>0</v>
      </c>
      <c r="G20" s="33">
        <f>'M-ATW'!$C$418</f>
        <v>0</v>
      </c>
      <c r="H20" s="33">
        <f>'M-ATW'!$C$419</f>
        <v>0</v>
      </c>
      <c r="I20" s="33">
        <f>'M-ATW'!$C$420</f>
        <v>0</v>
      </c>
      <c r="J20" s="33">
        <f>'M-ATW'!$C$421</f>
        <v>0</v>
      </c>
      <c r="K20" s="9"/>
      <c r="L20" s="33">
        <f>'M-ATW'!$C$422</f>
        <v>0</v>
      </c>
      <c r="M20" s="33">
        <f>'M-ATW'!$C$423</f>
        <v>0</v>
      </c>
      <c r="N20" s="33">
        <f>'M-ATW'!$C$424</f>
        <v>0</v>
      </c>
      <c r="O20" s="33">
        <f>'M-ATW'!$C$425</f>
        <v>0</v>
      </c>
      <c r="P20" s="33">
        <f>'M-ATW'!$C$426</f>
        <v>0</v>
      </c>
      <c r="Q20" s="33">
        <f>'M-ATW'!$C$427</f>
        <v>0</v>
      </c>
      <c r="R20" s="33">
        <f>'M-ATW'!$C$428</f>
        <v>0</v>
      </c>
      <c r="S20" s="33">
        <f>'M-ATW'!$C$429</f>
        <v>0</v>
      </c>
      <c r="T20" s="33">
        <f>'M-ATW'!$C$430</f>
        <v>0</v>
      </c>
      <c r="U20" s="33">
        <f>'M-ATW'!$C$431</f>
        <v>0</v>
      </c>
      <c r="V20" s="9"/>
      <c r="W20" s="33">
        <f>'M-ATW'!$C$432</f>
        <v>0</v>
      </c>
      <c r="X20" s="33">
        <f>'M-ATW'!$C$433</f>
        <v>0</v>
      </c>
      <c r="Y20" s="17">
        <f>SUM($B20:$X20)</f>
        <v>0</v>
      </c>
      <c r="Z20" s="10"/>
    </row>
    <row r="21" spans="1:26">
      <c r="A21" s="11" t="s">
        <v>213</v>
      </c>
      <c r="B21" s="33">
        <f>'M-ATW'!$C$443</f>
        <v>0</v>
      </c>
      <c r="C21" s="33">
        <f>'M-ATW'!$C$444</f>
        <v>0</v>
      </c>
      <c r="D21" s="33">
        <f>'M-ATW'!$C$445</f>
        <v>0</v>
      </c>
      <c r="E21" s="33">
        <f>'M-ATW'!$C$446</f>
        <v>0</v>
      </c>
      <c r="F21" s="33">
        <f>'M-ATW'!$C$447</f>
        <v>0</v>
      </c>
      <c r="G21" s="33">
        <f>'M-ATW'!$C$448</f>
        <v>0</v>
      </c>
      <c r="H21" s="33">
        <f>'M-ATW'!$C$449</f>
        <v>0</v>
      </c>
      <c r="I21" s="33">
        <f>'M-ATW'!$C$450</f>
        <v>0</v>
      </c>
      <c r="J21" s="33">
        <f>'M-ATW'!$C$451</f>
        <v>0</v>
      </c>
      <c r="K21" s="9"/>
      <c r="L21" s="33">
        <f>'M-ATW'!$C$452</f>
        <v>0</v>
      </c>
      <c r="M21" s="33">
        <f>'M-ATW'!$C$453</f>
        <v>0</v>
      </c>
      <c r="N21" s="33">
        <f>'M-ATW'!$C$454</f>
        <v>0</v>
      </c>
      <c r="O21" s="33">
        <f>'M-ATW'!$C$455</f>
        <v>0</v>
      </c>
      <c r="P21" s="33">
        <f>'M-ATW'!$C$456</f>
        <v>0</v>
      </c>
      <c r="Q21" s="33">
        <f>'M-ATW'!$C$457</f>
        <v>0</v>
      </c>
      <c r="R21" s="33">
        <f>'M-ATW'!$C$458</f>
        <v>0</v>
      </c>
      <c r="S21" s="33">
        <f>'M-ATW'!$C$459</f>
        <v>0</v>
      </c>
      <c r="T21" s="33">
        <f>'M-ATW'!$C$460</f>
        <v>0</v>
      </c>
      <c r="U21" s="33">
        <f>'M-ATW'!$C$461</f>
        <v>0</v>
      </c>
      <c r="V21" s="9"/>
      <c r="W21" s="33">
        <f>'M-ATW'!$C$462</f>
        <v>0</v>
      </c>
      <c r="X21" s="33">
        <f>'M-ATW'!$C$463</f>
        <v>0</v>
      </c>
      <c r="Y21" s="17">
        <f>SUM($B21:$X21)</f>
        <v>0</v>
      </c>
      <c r="Z21" s="10"/>
    </row>
    <row r="22" spans="1:26">
      <c r="A22" s="11" t="s">
        <v>214</v>
      </c>
      <c r="B22" s="33">
        <f>'M-ATW'!$C$473</f>
        <v>0</v>
      </c>
      <c r="C22" s="33">
        <f>'M-ATW'!$C$474</f>
        <v>0</v>
      </c>
      <c r="D22" s="33">
        <f>'M-ATW'!$C$475</f>
        <v>0</v>
      </c>
      <c r="E22" s="33">
        <f>'M-ATW'!$C$476</f>
        <v>0</v>
      </c>
      <c r="F22" s="33">
        <f>'M-ATW'!$C$477</f>
        <v>0</v>
      </c>
      <c r="G22" s="33">
        <f>'M-ATW'!$C$478</f>
        <v>0</v>
      </c>
      <c r="H22" s="33">
        <f>'M-ATW'!$C$479</f>
        <v>0</v>
      </c>
      <c r="I22" s="33">
        <f>'M-ATW'!$C$480</f>
        <v>0</v>
      </c>
      <c r="J22" s="33">
        <f>'M-ATW'!$C$481</f>
        <v>0</v>
      </c>
      <c r="K22" s="9"/>
      <c r="L22" s="33">
        <f>'M-ATW'!$C$482</f>
        <v>0</v>
      </c>
      <c r="M22" s="33">
        <f>'M-ATW'!$C$483</f>
        <v>0</v>
      </c>
      <c r="N22" s="33">
        <f>'M-ATW'!$C$484</f>
        <v>0</v>
      </c>
      <c r="O22" s="33">
        <f>'M-ATW'!$C$485</f>
        <v>0</v>
      </c>
      <c r="P22" s="33">
        <f>'M-ATW'!$C$486</f>
        <v>0</v>
      </c>
      <c r="Q22" s="33">
        <f>'M-ATW'!$C$487</f>
        <v>0</v>
      </c>
      <c r="R22" s="33">
        <f>'M-ATW'!$C$488</f>
        <v>0</v>
      </c>
      <c r="S22" s="33">
        <f>'M-ATW'!$C$489</f>
        <v>0</v>
      </c>
      <c r="T22" s="33">
        <f>'M-ATW'!$C$490</f>
        <v>0</v>
      </c>
      <c r="U22" s="33">
        <f>'M-ATW'!$C$491</f>
        <v>0</v>
      </c>
      <c r="V22" s="9"/>
      <c r="W22" s="33">
        <f>'M-ATW'!$C$492</f>
        <v>0</v>
      </c>
      <c r="X22" s="33">
        <f>'M-ATW'!$C$493</f>
        <v>0</v>
      </c>
      <c r="Y22" s="17">
        <f>SUM($B22:$X22)</f>
        <v>0</v>
      </c>
      <c r="Z22" s="10"/>
    </row>
    <row r="23" spans="1:26">
      <c r="A23" s="11" t="s">
        <v>215</v>
      </c>
      <c r="B23" s="33">
        <f>'M-ATW'!$C$503</f>
        <v>0</v>
      </c>
      <c r="C23" s="33">
        <f>'M-ATW'!$C$504</f>
        <v>0</v>
      </c>
      <c r="D23" s="33">
        <f>'M-ATW'!$C$505</f>
        <v>0</v>
      </c>
      <c r="E23" s="33">
        <f>'M-ATW'!$C$506</f>
        <v>0</v>
      </c>
      <c r="F23" s="33">
        <f>'M-ATW'!$C$507</f>
        <v>0</v>
      </c>
      <c r="G23" s="33">
        <f>'M-ATW'!$C$508</f>
        <v>0</v>
      </c>
      <c r="H23" s="33">
        <f>'M-ATW'!$C$509</f>
        <v>0</v>
      </c>
      <c r="I23" s="33">
        <f>'M-ATW'!$C$510</f>
        <v>0</v>
      </c>
      <c r="J23" s="33">
        <f>'M-ATW'!$C$511</f>
        <v>0</v>
      </c>
      <c r="K23" s="9"/>
      <c r="L23" s="33">
        <f>'M-ATW'!$C$512</f>
        <v>0</v>
      </c>
      <c r="M23" s="33">
        <f>'M-ATW'!$C$513</f>
        <v>0</v>
      </c>
      <c r="N23" s="33">
        <f>'M-ATW'!$C$514</f>
        <v>0</v>
      </c>
      <c r="O23" s="33">
        <f>'M-ATW'!$C$515</f>
        <v>0</v>
      </c>
      <c r="P23" s="33">
        <f>'M-ATW'!$C$516</f>
        <v>0</v>
      </c>
      <c r="Q23" s="33">
        <f>'M-ATW'!$C$517</f>
        <v>0</v>
      </c>
      <c r="R23" s="33">
        <f>'M-ATW'!$C$518</f>
        <v>0</v>
      </c>
      <c r="S23" s="33">
        <f>'M-ATW'!$C$519</f>
        <v>0</v>
      </c>
      <c r="T23" s="33">
        <f>'M-ATW'!$C$520</f>
        <v>0</v>
      </c>
      <c r="U23" s="33">
        <f>'M-ATW'!$C$521</f>
        <v>0</v>
      </c>
      <c r="V23" s="9"/>
      <c r="W23" s="33">
        <f>'M-ATW'!$C$522</f>
        <v>0</v>
      </c>
      <c r="X23" s="33">
        <f>'M-ATW'!$C$523</f>
        <v>0</v>
      </c>
      <c r="Y23" s="17">
        <f>SUM($B23:$X23)</f>
        <v>0</v>
      </c>
      <c r="Z23" s="10"/>
    </row>
    <row r="24" spans="1:26">
      <c r="A24" s="11" t="s">
        <v>216</v>
      </c>
      <c r="B24" s="33">
        <f>'M-ATW'!$F$533</f>
        <v>0</v>
      </c>
      <c r="C24" s="33">
        <f>'M-ATW'!$F$534</f>
        <v>0</v>
      </c>
      <c r="D24" s="33">
        <f>'M-ATW'!$F$535</f>
        <v>0</v>
      </c>
      <c r="E24" s="33">
        <f>'M-ATW'!$F$536</f>
        <v>0</v>
      </c>
      <c r="F24" s="33">
        <f>'M-ATW'!$F$537</f>
        <v>0</v>
      </c>
      <c r="G24" s="33">
        <f>'M-ATW'!$F$538</f>
        <v>0</v>
      </c>
      <c r="H24" s="33">
        <f>'M-ATW'!$F$539</f>
        <v>0</v>
      </c>
      <c r="I24" s="33">
        <f>'M-ATW'!$F$540</f>
        <v>0</v>
      </c>
      <c r="J24" s="33">
        <f>'M-ATW'!$F$541</f>
        <v>0</v>
      </c>
      <c r="K24" s="9"/>
      <c r="L24" s="33">
        <f>'M-ATW'!$F$542</f>
        <v>0</v>
      </c>
      <c r="M24" s="33">
        <f>'M-ATW'!$F$543</f>
        <v>0</v>
      </c>
      <c r="N24" s="33">
        <f>'M-ATW'!$F$544</f>
        <v>0</v>
      </c>
      <c r="O24" s="33">
        <f>'M-ATW'!$F$545</f>
        <v>0</v>
      </c>
      <c r="P24" s="33">
        <f>'M-ATW'!$F$546</f>
        <v>0</v>
      </c>
      <c r="Q24" s="33">
        <f>'M-ATW'!$F$547</f>
        <v>0</v>
      </c>
      <c r="R24" s="33">
        <f>'M-ATW'!$F$548</f>
        <v>0</v>
      </c>
      <c r="S24" s="33">
        <f>'M-ATW'!$F$549</f>
        <v>0</v>
      </c>
      <c r="T24" s="33">
        <f>'M-ATW'!$F$550</f>
        <v>0</v>
      </c>
      <c r="U24" s="33">
        <f>'M-ATW'!$F$551</f>
        <v>0</v>
      </c>
      <c r="V24" s="9"/>
      <c r="W24" s="33">
        <f>'M-ATW'!$F$552</f>
        <v>0</v>
      </c>
      <c r="X24" s="33">
        <f>'M-ATW'!$F$553</f>
        <v>0</v>
      </c>
      <c r="Y24" s="17">
        <f>SUM($B24:$X24)</f>
        <v>0</v>
      </c>
      <c r="Z24" s="10"/>
    </row>
    <row r="25" spans="1:26">
      <c r="A25" s="11" t="s">
        <v>180</v>
      </c>
      <c r="B25" s="33">
        <f>'M-ATW'!$D$563</f>
        <v>0</v>
      </c>
      <c r="C25" s="33">
        <f>'M-ATW'!$D$564</f>
        <v>0</v>
      </c>
      <c r="D25" s="33">
        <f>'M-ATW'!$D$565</f>
        <v>0</v>
      </c>
      <c r="E25" s="33">
        <f>'M-ATW'!$D$566</f>
        <v>0</v>
      </c>
      <c r="F25" s="33">
        <f>'M-ATW'!$D$567</f>
        <v>0</v>
      </c>
      <c r="G25" s="33">
        <f>'M-ATW'!$D$568</f>
        <v>0</v>
      </c>
      <c r="H25" s="33">
        <f>'M-ATW'!$D$569</f>
        <v>0</v>
      </c>
      <c r="I25" s="33">
        <f>'M-ATW'!$D$570</f>
        <v>0</v>
      </c>
      <c r="J25" s="33">
        <f>'M-ATW'!$D$571</f>
        <v>0</v>
      </c>
      <c r="K25" s="33">
        <f>'M-ATW'!$D$572</f>
        <v>0</v>
      </c>
      <c r="L25" s="33">
        <f>'M-ATW'!$D$573</f>
        <v>0</v>
      </c>
      <c r="M25" s="33">
        <f>'M-ATW'!$D$574</f>
        <v>0</v>
      </c>
      <c r="N25" s="33">
        <f>'M-ATW'!$D$575</f>
        <v>0</v>
      </c>
      <c r="O25" s="33">
        <f>'M-ATW'!$D$576</f>
        <v>0</v>
      </c>
      <c r="P25" s="33">
        <f>'M-ATW'!$D$577</f>
        <v>0</v>
      </c>
      <c r="Q25" s="33">
        <f>'M-ATW'!$D$578</f>
        <v>0</v>
      </c>
      <c r="R25" s="33">
        <f>'M-ATW'!$D$579</f>
        <v>0</v>
      </c>
      <c r="S25" s="33">
        <f>'M-ATW'!$D$580</f>
        <v>0</v>
      </c>
      <c r="T25" s="33">
        <f>'M-ATW'!$D$581</f>
        <v>0</v>
      </c>
      <c r="U25" s="33">
        <f>'M-ATW'!$D$582</f>
        <v>0</v>
      </c>
      <c r="V25" s="33">
        <f>'M-ATW'!$D$583</f>
        <v>0</v>
      </c>
      <c r="W25" s="33">
        <f>'M-ATW'!$D$584</f>
        <v>0</v>
      </c>
      <c r="X25" s="33">
        <f>'M-ATW'!$D$585</f>
        <v>0</v>
      </c>
      <c r="Y25" s="17">
        <f>SUM($B25:$X25)</f>
        <v>0</v>
      </c>
      <c r="Z25" s="10"/>
    </row>
    <row r="26" spans="1:26">
      <c r="A26" s="11" t="s">
        <v>181</v>
      </c>
      <c r="B26" s="33">
        <f>'M-ATW'!$D$595</f>
        <v>0</v>
      </c>
      <c r="C26" s="33">
        <f>'M-ATW'!$D$596</f>
        <v>0</v>
      </c>
      <c r="D26" s="33">
        <f>'M-ATW'!$D$597</f>
        <v>0</v>
      </c>
      <c r="E26" s="33">
        <f>'M-ATW'!$D$598</f>
        <v>0</v>
      </c>
      <c r="F26" s="33">
        <f>'M-ATW'!$D$599</f>
        <v>0</v>
      </c>
      <c r="G26" s="33">
        <f>'M-ATW'!$D$600</f>
        <v>0</v>
      </c>
      <c r="H26" s="33">
        <f>'M-ATW'!$D$601</f>
        <v>0</v>
      </c>
      <c r="I26" s="33">
        <f>'M-ATW'!$D$602</f>
        <v>0</v>
      </c>
      <c r="J26" s="33">
        <f>'M-ATW'!$D$603</f>
        <v>0</v>
      </c>
      <c r="K26" s="33">
        <f>'M-ATW'!$D$604</f>
        <v>0</v>
      </c>
      <c r="L26" s="33">
        <f>'M-ATW'!$D$605</f>
        <v>0</v>
      </c>
      <c r="M26" s="33">
        <f>'M-ATW'!$D$606</f>
        <v>0</v>
      </c>
      <c r="N26" s="33">
        <f>'M-ATW'!$D$607</f>
        <v>0</v>
      </c>
      <c r="O26" s="33">
        <f>'M-ATW'!$D$608</f>
        <v>0</v>
      </c>
      <c r="P26" s="33">
        <f>'M-ATW'!$D$609</f>
        <v>0</v>
      </c>
      <c r="Q26" s="33">
        <f>'M-ATW'!$D$610</f>
        <v>0</v>
      </c>
      <c r="R26" s="33">
        <f>'M-ATW'!$D$611</f>
        <v>0</v>
      </c>
      <c r="S26" s="33">
        <f>'M-ATW'!$D$612</f>
        <v>0</v>
      </c>
      <c r="T26" s="33">
        <f>'M-ATW'!$D$613</f>
        <v>0</v>
      </c>
      <c r="U26" s="33">
        <f>'M-ATW'!$D$614</f>
        <v>0</v>
      </c>
      <c r="V26" s="33">
        <f>'M-ATW'!$D$615</f>
        <v>0</v>
      </c>
      <c r="W26" s="33">
        <f>'M-ATW'!$D$616</f>
        <v>0</v>
      </c>
      <c r="X26" s="33">
        <f>'M-ATW'!$D$617</f>
        <v>0</v>
      </c>
      <c r="Y26" s="17">
        <f>SUM($B26:$X26)</f>
        <v>0</v>
      </c>
      <c r="Z26" s="10"/>
    </row>
    <row r="27" spans="1:26">
      <c r="A27" s="11" t="s">
        <v>182</v>
      </c>
      <c r="B27" s="33">
        <f>'M-ATW'!$E$627</f>
        <v>0</v>
      </c>
      <c r="C27" s="33">
        <f>'M-ATW'!$E$628</f>
        <v>0</v>
      </c>
      <c r="D27" s="33">
        <f>'M-ATW'!$E$629</f>
        <v>0</v>
      </c>
      <c r="E27" s="33">
        <f>'M-ATW'!$E$630</f>
        <v>0</v>
      </c>
      <c r="F27" s="33">
        <f>'M-ATW'!$E$631</f>
        <v>0</v>
      </c>
      <c r="G27" s="33">
        <f>'M-ATW'!$E$632</f>
        <v>0</v>
      </c>
      <c r="H27" s="33">
        <f>'M-ATW'!$E$633</f>
        <v>0</v>
      </c>
      <c r="I27" s="33">
        <f>'M-ATW'!$E$634</f>
        <v>0</v>
      </c>
      <c r="J27" s="33">
        <f>'M-ATW'!$E$635</f>
        <v>0</v>
      </c>
      <c r="K27" s="33">
        <f>'M-ATW'!$E$636</f>
        <v>0</v>
      </c>
      <c r="L27" s="33">
        <f>'M-ATW'!$E$637</f>
        <v>0</v>
      </c>
      <c r="M27" s="33">
        <f>'M-ATW'!$E$638</f>
        <v>0</v>
      </c>
      <c r="N27" s="33">
        <f>'M-ATW'!$E$639</f>
        <v>0</v>
      </c>
      <c r="O27" s="33">
        <f>'M-ATW'!$E$640</f>
        <v>0</v>
      </c>
      <c r="P27" s="33">
        <f>'M-ATW'!$E$641</f>
        <v>0</v>
      </c>
      <c r="Q27" s="33">
        <f>'M-ATW'!$E$642</f>
        <v>0</v>
      </c>
      <c r="R27" s="33">
        <f>'M-ATW'!$E$643</f>
        <v>0</v>
      </c>
      <c r="S27" s="33">
        <f>'M-ATW'!$E$644</f>
        <v>0</v>
      </c>
      <c r="T27" s="33">
        <f>'M-ATW'!$E$645</f>
        <v>0</v>
      </c>
      <c r="U27" s="33">
        <f>'M-ATW'!$E$646</f>
        <v>0</v>
      </c>
      <c r="V27" s="33">
        <f>'M-ATW'!$E$647</f>
        <v>0</v>
      </c>
      <c r="W27" s="33">
        <f>'M-ATW'!$E$648</f>
        <v>0</v>
      </c>
      <c r="X27" s="33">
        <f>'M-ATW'!$E$649</f>
        <v>0</v>
      </c>
      <c r="Y27" s="17">
        <f>SUM($B27:$X27)</f>
        <v>0</v>
      </c>
      <c r="Z27" s="10"/>
    </row>
    <row r="28" spans="1:26">
      <c r="A28" s="11" t="s">
        <v>183</v>
      </c>
      <c r="B28" s="33">
        <f>'M-ATW'!$H$659</f>
        <v>0</v>
      </c>
      <c r="C28" s="33">
        <f>'M-ATW'!$H$660</f>
        <v>0</v>
      </c>
      <c r="D28" s="33">
        <f>'M-ATW'!$H$661</f>
        <v>0</v>
      </c>
      <c r="E28" s="33">
        <f>'M-ATW'!$H$662</f>
        <v>0</v>
      </c>
      <c r="F28" s="33">
        <f>'M-ATW'!$H$663</f>
        <v>0</v>
      </c>
      <c r="G28" s="33">
        <f>'M-ATW'!$H$664</f>
        <v>0</v>
      </c>
      <c r="H28" s="33">
        <f>'M-ATW'!$H$665</f>
        <v>0</v>
      </c>
      <c r="I28" s="33">
        <f>'M-ATW'!$H$666</f>
        <v>0</v>
      </c>
      <c r="J28" s="33">
        <f>'M-ATW'!$H$667</f>
        <v>0</v>
      </c>
      <c r="K28" s="33">
        <f>'M-ATW'!$H$668</f>
        <v>0</v>
      </c>
      <c r="L28" s="33">
        <f>'M-ATW'!$H$669</f>
        <v>0</v>
      </c>
      <c r="M28" s="33">
        <f>'M-ATW'!$H$670</f>
        <v>0</v>
      </c>
      <c r="N28" s="33">
        <f>'M-ATW'!$H$671</f>
        <v>0</v>
      </c>
      <c r="O28" s="33">
        <f>'M-ATW'!$H$672</f>
        <v>0</v>
      </c>
      <c r="P28" s="33">
        <f>'M-ATW'!$H$673</f>
        <v>0</v>
      </c>
      <c r="Q28" s="33">
        <f>'M-ATW'!$H$674</f>
        <v>0</v>
      </c>
      <c r="R28" s="33">
        <f>'M-ATW'!$H$675</f>
        <v>0</v>
      </c>
      <c r="S28" s="33">
        <f>'M-ATW'!$H$676</f>
        <v>0</v>
      </c>
      <c r="T28" s="33">
        <f>'M-ATW'!$H$677</f>
        <v>0</v>
      </c>
      <c r="U28" s="33">
        <f>'M-ATW'!$H$678</f>
        <v>0</v>
      </c>
      <c r="V28" s="33">
        <f>'M-ATW'!$H$679</f>
        <v>0</v>
      </c>
      <c r="W28" s="33">
        <f>'M-ATW'!$H$680</f>
        <v>0</v>
      </c>
      <c r="X28" s="33">
        <f>'M-ATW'!$H$681</f>
        <v>0</v>
      </c>
      <c r="Y28" s="17">
        <f>SUM($B28:$X28)</f>
        <v>0</v>
      </c>
      <c r="Z28" s="10"/>
    </row>
    <row r="29" spans="1:26">
      <c r="A29" s="11" t="s">
        <v>184</v>
      </c>
      <c r="B29" s="33">
        <f>'M-ATW'!$E$691</f>
        <v>0</v>
      </c>
      <c r="C29" s="33">
        <f>'M-ATW'!$E$692</f>
        <v>0</v>
      </c>
      <c r="D29" s="33">
        <f>'M-ATW'!$E$693</f>
        <v>0</v>
      </c>
      <c r="E29" s="33">
        <f>'M-ATW'!$E$694</f>
        <v>0</v>
      </c>
      <c r="F29" s="33">
        <f>'M-ATW'!$E$695</f>
        <v>0</v>
      </c>
      <c r="G29" s="33">
        <f>'M-ATW'!$E$696</f>
        <v>0</v>
      </c>
      <c r="H29" s="33">
        <f>'M-ATW'!$E$697</f>
        <v>0</v>
      </c>
      <c r="I29" s="33">
        <f>'M-ATW'!$E$698</f>
        <v>0</v>
      </c>
      <c r="J29" s="33">
        <f>'M-ATW'!$E$699</f>
        <v>0</v>
      </c>
      <c r="K29" s="33">
        <f>'M-ATW'!$E$700</f>
        <v>0</v>
      </c>
      <c r="L29" s="33">
        <f>'M-ATW'!$E$701</f>
        <v>0</v>
      </c>
      <c r="M29" s="33">
        <f>'M-ATW'!$E$702</f>
        <v>0</v>
      </c>
      <c r="N29" s="33">
        <f>'M-ATW'!$E$703</f>
        <v>0</v>
      </c>
      <c r="O29" s="33">
        <f>'M-ATW'!$E$704</f>
        <v>0</v>
      </c>
      <c r="P29" s="33">
        <f>'M-ATW'!$E$705</f>
        <v>0</v>
      </c>
      <c r="Q29" s="33">
        <f>'M-ATW'!$E$706</f>
        <v>0</v>
      </c>
      <c r="R29" s="33">
        <f>'M-ATW'!$E$707</f>
        <v>0</v>
      </c>
      <c r="S29" s="33">
        <f>'M-ATW'!$E$708</f>
        <v>0</v>
      </c>
      <c r="T29" s="33">
        <f>'M-ATW'!$E$709</f>
        <v>0</v>
      </c>
      <c r="U29" s="33">
        <f>'M-ATW'!$E$710</f>
        <v>0</v>
      </c>
      <c r="V29" s="33">
        <f>'M-ATW'!$E$711</f>
        <v>0</v>
      </c>
      <c r="W29" s="33">
        <f>'M-ATW'!$E$712</f>
        <v>0</v>
      </c>
      <c r="X29" s="33">
        <f>'M-ATW'!$E$713</f>
        <v>0</v>
      </c>
      <c r="Y29" s="17">
        <f>SUM($B29:$X29)</f>
        <v>0</v>
      </c>
      <c r="Z29" s="10"/>
    </row>
    <row r="30" spans="1:26">
      <c r="A30" s="11" t="s">
        <v>185</v>
      </c>
      <c r="B30" s="33">
        <f>'M-ATW'!$H$723</f>
        <v>0</v>
      </c>
      <c r="C30" s="33">
        <f>'M-ATW'!$H$724</f>
        <v>0</v>
      </c>
      <c r="D30" s="33">
        <f>'M-ATW'!$H$725</f>
        <v>0</v>
      </c>
      <c r="E30" s="33">
        <f>'M-ATW'!$H$726</f>
        <v>0</v>
      </c>
      <c r="F30" s="33">
        <f>'M-ATW'!$H$727</f>
        <v>0</v>
      </c>
      <c r="G30" s="33">
        <f>'M-ATW'!$H$728</f>
        <v>0</v>
      </c>
      <c r="H30" s="33">
        <f>'M-ATW'!$H$729</f>
        <v>0</v>
      </c>
      <c r="I30" s="33">
        <f>'M-ATW'!$H$730</f>
        <v>0</v>
      </c>
      <c r="J30" s="33">
        <f>'M-ATW'!$H$731</f>
        <v>0</v>
      </c>
      <c r="K30" s="33">
        <f>'M-ATW'!$H$732</f>
        <v>0</v>
      </c>
      <c r="L30" s="33">
        <f>'M-ATW'!$H$733</f>
        <v>0</v>
      </c>
      <c r="M30" s="33">
        <f>'M-ATW'!$H$734</f>
        <v>0</v>
      </c>
      <c r="N30" s="33">
        <f>'M-ATW'!$H$735</f>
        <v>0</v>
      </c>
      <c r="O30" s="33">
        <f>'M-ATW'!$H$736</f>
        <v>0</v>
      </c>
      <c r="P30" s="33">
        <f>'M-ATW'!$H$737</f>
        <v>0</v>
      </c>
      <c r="Q30" s="33">
        <f>'M-ATW'!$H$738</f>
        <v>0</v>
      </c>
      <c r="R30" s="33">
        <f>'M-ATW'!$H$739</f>
        <v>0</v>
      </c>
      <c r="S30" s="33">
        <f>'M-ATW'!$H$740</f>
        <v>0</v>
      </c>
      <c r="T30" s="33">
        <f>'M-ATW'!$H$741</f>
        <v>0</v>
      </c>
      <c r="U30" s="33">
        <f>'M-ATW'!$H$742</f>
        <v>0</v>
      </c>
      <c r="V30" s="33">
        <f>'M-ATW'!$H$743</f>
        <v>0</v>
      </c>
      <c r="W30" s="33">
        <f>'M-ATW'!$H$744</f>
        <v>0</v>
      </c>
      <c r="X30" s="33">
        <f>'M-ATW'!$H$745</f>
        <v>0</v>
      </c>
      <c r="Y30" s="17">
        <f>SUM($B30:$X30)</f>
        <v>0</v>
      </c>
      <c r="Z30" s="10"/>
    </row>
    <row r="31" spans="1:26">
      <c r="A31" s="11" t="s">
        <v>193</v>
      </c>
      <c r="B31" s="33">
        <f>'M-ATW'!$E$755</f>
        <v>0</v>
      </c>
      <c r="C31" s="33">
        <f>'M-ATW'!$E$756</f>
        <v>0</v>
      </c>
      <c r="D31" s="33">
        <f>'M-ATW'!$E$757</f>
        <v>0</v>
      </c>
      <c r="E31" s="33">
        <f>'M-ATW'!$E$758</f>
        <v>0</v>
      </c>
      <c r="F31" s="33">
        <f>'M-ATW'!$E$759</f>
        <v>0</v>
      </c>
      <c r="G31" s="33">
        <f>'M-ATW'!$E$760</f>
        <v>0</v>
      </c>
      <c r="H31" s="33">
        <f>'M-ATW'!$E$761</f>
        <v>0</v>
      </c>
      <c r="I31" s="33">
        <f>'M-ATW'!$E$762</f>
        <v>0</v>
      </c>
      <c r="J31" s="33">
        <f>'M-ATW'!$E$763</f>
        <v>0</v>
      </c>
      <c r="K31" s="33">
        <f>'M-ATW'!$E$764</f>
        <v>0</v>
      </c>
      <c r="L31" s="33">
        <f>'M-ATW'!$E$765</f>
        <v>0</v>
      </c>
      <c r="M31" s="33">
        <f>'M-ATW'!$E$766</f>
        <v>0</v>
      </c>
      <c r="N31" s="33">
        <f>'M-ATW'!$E$767</f>
        <v>0</v>
      </c>
      <c r="O31" s="33">
        <f>'M-ATW'!$E$768</f>
        <v>0</v>
      </c>
      <c r="P31" s="33">
        <f>'M-ATW'!$E$769</f>
        <v>0</v>
      </c>
      <c r="Q31" s="33">
        <f>'M-ATW'!$E$770</f>
        <v>0</v>
      </c>
      <c r="R31" s="33">
        <f>'M-ATW'!$E$771</f>
        <v>0</v>
      </c>
      <c r="S31" s="33">
        <f>'M-ATW'!$E$772</f>
        <v>0</v>
      </c>
      <c r="T31" s="33">
        <f>'M-ATW'!$E$773</f>
        <v>0</v>
      </c>
      <c r="U31" s="33">
        <f>'M-ATW'!$E$774</f>
        <v>0</v>
      </c>
      <c r="V31" s="33">
        <f>'M-ATW'!$E$775</f>
        <v>0</v>
      </c>
      <c r="W31" s="33">
        <f>'M-ATW'!$E$776</f>
        <v>0</v>
      </c>
      <c r="X31" s="33">
        <f>'M-ATW'!$E$777</f>
        <v>0</v>
      </c>
      <c r="Y31" s="17">
        <f>SUM($B31:$X31)</f>
        <v>0</v>
      </c>
      <c r="Z31" s="10"/>
    </row>
    <row r="32" spans="1:26">
      <c r="A32" s="11" t="s">
        <v>194</v>
      </c>
      <c r="B32" s="33">
        <f>'M-ATW'!$H$787</f>
        <v>0</v>
      </c>
      <c r="C32" s="33">
        <f>'M-ATW'!$H$788</f>
        <v>0</v>
      </c>
      <c r="D32" s="33">
        <f>'M-ATW'!$H$789</f>
        <v>0</v>
      </c>
      <c r="E32" s="33">
        <f>'M-ATW'!$H$790</f>
        <v>0</v>
      </c>
      <c r="F32" s="33">
        <f>'M-ATW'!$H$791</f>
        <v>0</v>
      </c>
      <c r="G32" s="33">
        <f>'M-ATW'!$H$792</f>
        <v>0</v>
      </c>
      <c r="H32" s="33">
        <f>'M-ATW'!$H$793</f>
        <v>0</v>
      </c>
      <c r="I32" s="33">
        <f>'M-ATW'!$H$794</f>
        <v>0</v>
      </c>
      <c r="J32" s="33">
        <f>'M-ATW'!$H$795</f>
        <v>0</v>
      </c>
      <c r="K32" s="33">
        <f>'M-ATW'!$H$796</f>
        <v>0</v>
      </c>
      <c r="L32" s="33">
        <f>'M-ATW'!$H$797</f>
        <v>0</v>
      </c>
      <c r="M32" s="33">
        <f>'M-ATW'!$H$798</f>
        <v>0</v>
      </c>
      <c r="N32" s="33">
        <f>'M-ATW'!$H$799</f>
        <v>0</v>
      </c>
      <c r="O32" s="33">
        <f>'M-ATW'!$H$800</f>
        <v>0</v>
      </c>
      <c r="P32" s="33">
        <f>'M-ATW'!$H$801</f>
        <v>0</v>
      </c>
      <c r="Q32" s="33">
        <f>'M-ATW'!$H$802</f>
        <v>0</v>
      </c>
      <c r="R32" s="33">
        <f>'M-ATW'!$H$803</f>
        <v>0</v>
      </c>
      <c r="S32" s="33">
        <f>'M-ATW'!$H$804</f>
        <v>0</v>
      </c>
      <c r="T32" s="33">
        <f>'M-ATW'!$H$805</f>
        <v>0</v>
      </c>
      <c r="U32" s="33">
        <f>'M-ATW'!$H$806</f>
        <v>0</v>
      </c>
      <c r="V32" s="33">
        <f>'M-ATW'!$H$807</f>
        <v>0</v>
      </c>
      <c r="W32" s="33">
        <f>'M-ATW'!$H$808</f>
        <v>0</v>
      </c>
      <c r="X32" s="33">
        <f>'M-ATW'!$H$809</f>
        <v>0</v>
      </c>
      <c r="Y32" s="17">
        <f>SUM($B32:$X32)</f>
        <v>0</v>
      </c>
      <c r="Z32" s="10"/>
    </row>
    <row r="34" spans="1:26">
      <c r="A34" s="1" t="s">
        <v>1619</v>
      </c>
    </row>
    <row r="36" spans="1:26">
      <c r="B36" s="27" t="s">
        <v>1620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6">
      <c r="B37" s="3" t="s">
        <v>304</v>
      </c>
      <c r="C37" s="3" t="s">
        <v>305</v>
      </c>
      <c r="D37" s="3" t="s">
        <v>306</v>
      </c>
      <c r="E37" s="3" t="s">
        <v>307</v>
      </c>
      <c r="F37" s="3" t="s">
        <v>308</v>
      </c>
      <c r="G37" s="3" t="s">
        <v>309</v>
      </c>
      <c r="H37" s="3" t="s">
        <v>310</v>
      </c>
      <c r="I37" s="3" t="s">
        <v>311</v>
      </c>
      <c r="J37" s="3" t="s">
        <v>461</v>
      </c>
      <c r="K37" s="3" t="s">
        <v>473</v>
      </c>
      <c r="L37" s="3" t="s">
        <v>292</v>
      </c>
      <c r="M37" s="3" t="s">
        <v>810</v>
      </c>
      <c r="N37" s="3" t="s">
        <v>811</v>
      </c>
      <c r="O37" s="3" t="s">
        <v>812</v>
      </c>
      <c r="P37" s="3" t="s">
        <v>813</v>
      </c>
      <c r="Q37" s="3" t="s">
        <v>814</v>
      </c>
      <c r="R37" s="3" t="s">
        <v>815</v>
      </c>
      <c r="S37" s="3" t="s">
        <v>816</v>
      </c>
      <c r="T37" s="3" t="s">
        <v>817</v>
      </c>
      <c r="U37" s="3" t="s">
        <v>818</v>
      </c>
      <c r="V37" s="3" t="s">
        <v>819</v>
      </c>
      <c r="W37" s="3" t="s">
        <v>1610</v>
      </c>
      <c r="X37" s="3" t="s">
        <v>1611</v>
      </c>
      <c r="Y37" s="3" t="s">
        <v>1621</v>
      </c>
    </row>
    <row r="38" spans="1:26">
      <c r="A38" s="11" t="s">
        <v>1622</v>
      </c>
      <c r="B38" s="17">
        <f>SUM(B$8:B$32)</f>
        <v>0</v>
      </c>
      <c r="C38" s="17">
        <f>SUM(C$8:C$32)</f>
        <v>0</v>
      </c>
      <c r="D38" s="17">
        <f>SUM(D$8:D$32)</f>
        <v>0</v>
      </c>
      <c r="E38" s="17">
        <f>SUM(E$8:E$32)</f>
        <v>0</v>
      </c>
      <c r="F38" s="17">
        <f>SUM(F$8:F$32)</f>
        <v>0</v>
      </c>
      <c r="G38" s="17">
        <f>SUM(G$8:G$32)</f>
        <v>0</v>
      </c>
      <c r="H38" s="17">
        <f>SUM(H$8:H$32)</f>
        <v>0</v>
      </c>
      <c r="I38" s="17">
        <f>SUM(I$8:I$32)</f>
        <v>0</v>
      </c>
      <c r="J38" s="17">
        <f>SUM(J$8:J$32)</f>
        <v>0</v>
      </c>
      <c r="K38" s="17">
        <f>SUM(K$8:K$32)</f>
        <v>0</v>
      </c>
      <c r="L38" s="17">
        <f>SUM(L$8:L$32)</f>
        <v>0</v>
      </c>
      <c r="M38" s="17">
        <f>SUM(M$8:M$32)</f>
        <v>0</v>
      </c>
      <c r="N38" s="17">
        <f>SUM(N$8:N$32)</f>
        <v>0</v>
      </c>
      <c r="O38" s="17">
        <f>SUM(O$8:O$32)</f>
        <v>0</v>
      </c>
      <c r="P38" s="17">
        <f>SUM(P$8:P$32)</f>
        <v>0</v>
      </c>
      <c r="Q38" s="17">
        <f>SUM(Q$8:Q$32)</f>
        <v>0</v>
      </c>
      <c r="R38" s="17">
        <f>SUM(R$8:R$32)</f>
        <v>0</v>
      </c>
      <c r="S38" s="17">
        <f>SUM(S$8:S$32)</f>
        <v>0</v>
      </c>
      <c r="T38" s="17">
        <f>SUM(T$8:T$32)</f>
        <v>0</v>
      </c>
      <c r="U38" s="17">
        <f>SUM(U$8:U$32)</f>
        <v>0</v>
      </c>
      <c r="V38" s="17">
        <f>SUM(V$8:V$32)</f>
        <v>0</v>
      </c>
      <c r="W38" s="17">
        <f>SUM(W$8:W$32)</f>
        <v>0</v>
      </c>
      <c r="X38" s="17">
        <f>SUM(X$8:X$32)</f>
        <v>0</v>
      </c>
      <c r="Y38" s="17">
        <f>SUM($B$8:$X$32)</f>
        <v>0</v>
      </c>
      <c r="Z38" s="10"/>
    </row>
  </sheetData>
  <sheetProtection sheet="1" objects="1" scenarios="1"/>
  <pageMargins left="0.7" right="0.7" top="0.75" bottom="0.75" header="0.3" footer="0.3"/>
  <pageSetup fitToHeight="0" orientation="landscape"/>
  <headerFooter>
    <oddHeader>&amp;L&amp;A&amp;Cr6432&amp;R&amp;P of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>
      <c r="A1" s="1">
        <f>"Additional calculations for tariff comparisons"&amp;" for "&amp;'Input'!B7&amp;" in "&amp;'Input'!C7&amp;" ("&amp;'Input'!D7&amp;")"</f>
        <v>0</v>
      </c>
    </row>
    <row r="2" spans="1:1">
      <c r="A2" s="2" t="s">
        <v>1502</v>
      </c>
    </row>
    <row r="4" spans="1:1">
      <c r="A4" s="1" t="s">
        <v>1623</v>
      </c>
    </row>
    <row r="5" spans="1:1">
      <c r="A5" s="2" t="s">
        <v>349</v>
      </c>
    </row>
    <row r="6" spans="1:1">
      <c r="A6" s="12" t="s">
        <v>1624</v>
      </c>
    </row>
    <row r="7" spans="1:1">
      <c r="A7" s="12" t="s">
        <v>540</v>
      </c>
    </row>
    <row r="8" spans="1:1">
      <c r="A8" s="12" t="s">
        <v>1625</v>
      </c>
    </row>
    <row r="9" spans="1:1">
      <c r="A9" s="12" t="s">
        <v>1523</v>
      </c>
    </row>
    <row r="10" spans="1:1">
      <c r="A10" s="12" t="s">
        <v>1626</v>
      </c>
    </row>
    <row r="11" spans="1:1">
      <c r="A11" s="12" t="s">
        <v>1627</v>
      </c>
    </row>
    <row r="12" spans="1:1">
      <c r="A12" s="12" t="s">
        <v>1628</v>
      </c>
    </row>
    <row r="13" spans="1:1">
      <c r="A13" s="12" t="s">
        <v>1629</v>
      </c>
    </row>
    <row r="14" spans="1:1">
      <c r="A14" s="12" t="s">
        <v>1630</v>
      </c>
    </row>
    <row r="15" spans="1:1">
      <c r="A15" s="12" t="s">
        <v>1631</v>
      </c>
    </row>
    <row r="16" spans="1:1">
      <c r="A16" s="12" t="s">
        <v>1632</v>
      </c>
    </row>
    <row r="17" spans="1:3">
      <c r="A17" s="12" t="s">
        <v>1633</v>
      </c>
    </row>
    <row r="18" spans="1:3">
      <c r="A18" s="12" t="s">
        <v>1634</v>
      </c>
    </row>
    <row r="19" spans="1:3">
      <c r="A19" s="12" t="s">
        <v>1635</v>
      </c>
    </row>
    <row r="20" spans="1:3">
      <c r="A20" s="2" t="s">
        <v>1636</v>
      </c>
    </row>
    <row r="22" spans="1:3">
      <c r="B22" s="3" t="s">
        <v>1637</v>
      </c>
    </row>
    <row r="23" spans="1:3">
      <c r="A23" s="11" t="s">
        <v>172</v>
      </c>
      <c r="B23" s="17">
        <f>IF('Input'!B361,'Input'!B361,0.01*'Input'!F$58*('Input'!F361*'Input'!E$183+'Input'!G361*'Input'!F$183)+10*('Input'!C361*'Input'!B$183+'Input'!D361*'Input'!C$183+'Input'!E361*'Input'!D$183+'Input'!H361*'Input'!G$183))</f>
        <v>0</v>
      </c>
      <c r="C23" s="10"/>
    </row>
    <row r="24" spans="1:3">
      <c r="A24" s="11" t="s">
        <v>173</v>
      </c>
      <c r="B24" s="17">
        <f>IF('Input'!B362,'Input'!B362,0.01*'Input'!F$58*('Input'!F362*'Input'!E$187+'Input'!G362*'Input'!F$187)+10*('Input'!C362*'Input'!B$187+'Input'!D362*'Input'!C$187+'Input'!E362*'Input'!D$187+'Input'!H362*'Input'!G$187))</f>
        <v>0</v>
      </c>
      <c r="C24" s="10"/>
    </row>
    <row r="25" spans="1:3">
      <c r="A25" s="11" t="s">
        <v>210</v>
      </c>
      <c r="B25" s="17">
        <f>IF('Input'!B363,'Input'!B363,0.01*'Input'!F$58*('Input'!F363*'Input'!E$191+'Input'!G363*'Input'!F$191)+10*('Input'!C363*'Input'!B$191+'Input'!D363*'Input'!C$191+'Input'!E363*'Input'!D$191+'Input'!H363*'Input'!G$191))</f>
        <v>0</v>
      </c>
      <c r="C25" s="10"/>
    </row>
    <row r="26" spans="1:3">
      <c r="A26" s="11" t="s">
        <v>174</v>
      </c>
      <c r="B26" s="17">
        <f>IF('Input'!B364,'Input'!B364,0.01*'Input'!F$58*('Input'!F364*'Input'!E$195+'Input'!G364*'Input'!F$195)+10*('Input'!C364*'Input'!B$195+'Input'!D364*'Input'!C$195+'Input'!E364*'Input'!D$195+'Input'!H364*'Input'!G$195))</f>
        <v>0</v>
      </c>
      <c r="C26" s="10"/>
    </row>
    <row r="27" spans="1:3">
      <c r="A27" s="11" t="s">
        <v>175</v>
      </c>
      <c r="B27" s="17">
        <f>IF('Input'!B365,'Input'!B365,0.01*'Input'!F$58*('Input'!F365*'Input'!E$199+'Input'!G365*'Input'!F$199)+10*('Input'!C365*'Input'!B$199+'Input'!D365*'Input'!C$199+'Input'!E365*'Input'!D$199+'Input'!H365*'Input'!G$199))</f>
        <v>0</v>
      </c>
      <c r="C27" s="10"/>
    </row>
    <row r="28" spans="1:3">
      <c r="A28" s="11" t="s">
        <v>211</v>
      </c>
      <c r="B28" s="17">
        <f>IF('Input'!B366,'Input'!B366,0.01*'Input'!F$58*('Input'!F366*'Input'!E$203+'Input'!G366*'Input'!F$203)+10*('Input'!C366*'Input'!B$203+'Input'!D366*'Input'!C$203+'Input'!E366*'Input'!D$203+'Input'!H366*'Input'!G$203))</f>
        <v>0</v>
      </c>
      <c r="C28" s="10"/>
    </row>
    <row r="29" spans="1:3">
      <c r="A29" s="11" t="s">
        <v>176</v>
      </c>
      <c r="B29" s="17">
        <f>IF('Input'!B367,'Input'!B367,0.01*'Input'!F$58*('Input'!F367*'Input'!E$207+'Input'!G367*'Input'!F$207)+10*('Input'!C367*'Input'!B$207+'Input'!D367*'Input'!C$207+'Input'!E367*'Input'!D$207+'Input'!H367*'Input'!G$207))</f>
        <v>0</v>
      </c>
      <c r="C29" s="10"/>
    </row>
    <row r="30" spans="1:3">
      <c r="A30" s="11" t="s">
        <v>177</v>
      </c>
      <c r="B30" s="17">
        <f>IF('Input'!B368,'Input'!B368,0.01*'Input'!F$58*('Input'!F368*'Input'!E$211+'Input'!G368*'Input'!F$211)+10*('Input'!C368*'Input'!B$211+'Input'!D368*'Input'!C$211+'Input'!E368*'Input'!D$211+'Input'!H368*'Input'!G$211))</f>
        <v>0</v>
      </c>
      <c r="C30" s="10"/>
    </row>
    <row r="31" spans="1:3">
      <c r="A31" s="11" t="s">
        <v>191</v>
      </c>
      <c r="B31" s="17">
        <f>IF('Input'!B369,'Input'!B369,0.01*'Input'!F$58*('Input'!F369*'Input'!E$213+'Input'!G369*'Input'!F$213)+10*('Input'!C369*'Input'!B$213+'Input'!D369*'Input'!C$213+'Input'!E369*'Input'!D$213+'Input'!H369*'Input'!G$213))</f>
        <v>0</v>
      </c>
      <c r="C31" s="10"/>
    </row>
    <row r="32" spans="1:3">
      <c r="A32" s="11" t="s">
        <v>178</v>
      </c>
      <c r="B32" s="17">
        <f>IF('Input'!B370,'Input'!B370,0.01*'Input'!F$58*('Input'!F370*'Input'!E$215+'Input'!G370*'Input'!F$215)+10*('Input'!C370*'Input'!B$215+'Input'!D370*'Input'!C$215+'Input'!E370*'Input'!D$215+'Input'!H370*'Input'!G$215))</f>
        <v>0</v>
      </c>
      <c r="C32" s="10"/>
    </row>
    <row r="33" spans="1:3">
      <c r="A33" s="11" t="s">
        <v>179</v>
      </c>
      <c r="B33" s="17">
        <f>IF('Input'!B371,'Input'!B371,0.01*'Input'!F$58*('Input'!F371*'Input'!E$219+'Input'!G371*'Input'!F$219)+10*('Input'!C371*'Input'!B$219+'Input'!D371*'Input'!C$219+'Input'!E371*'Input'!D$219+'Input'!H371*'Input'!G$219))</f>
        <v>0</v>
      </c>
      <c r="C33" s="10"/>
    </row>
    <row r="34" spans="1:3">
      <c r="A34" s="11" t="s">
        <v>192</v>
      </c>
      <c r="B34" s="17">
        <f>IF('Input'!B372,'Input'!B372,0.01*'Input'!F$58*('Input'!F372*'Input'!E$222+'Input'!G372*'Input'!F$222)+10*('Input'!C372*'Input'!B$222+'Input'!D372*'Input'!C$222+'Input'!E372*'Input'!D$222+'Input'!H372*'Input'!G$222))</f>
        <v>0</v>
      </c>
      <c r="C34" s="10"/>
    </row>
    <row r="35" spans="1:3">
      <c r="A35" s="11" t="s">
        <v>212</v>
      </c>
      <c r="B35" s="17">
        <f>IF('Input'!B373,'Input'!B373,0.01*'Input'!F$58*('Input'!F373*'Input'!E$225+'Input'!G373*'Input'!F$225)+10*('Input'!C373*'Input'!B$225+'Input'!D373*'Input'!C$225+'Input'!E373*'Input'!D$225+'Input'!H373*'Input'!G$225))</f>
        <v>0</v>
      </c>
      <c r="C35" s="10"/>
    </row>
    <row r="36" spans="1:3">
      <c r="A36" s="11" t="s">
        <v>213</v>
      </c>
      <c r="B36" s="17">
        <f>IF('Input'!B374,'Input'!B374,0.01*'Input'!F$58*('Input'!F374*'Input'!E$229+'Input'!G374*'Input'!F$229)+10*('Input'!C374*'Input'!B$229+'Input'!D374*'Input'!C$229+'Input'!E374*'Input'!D$229+'Input'!H374*'Input'!G$229))</f>
        <v>0</v>
      </c>
      <c r="C36" s="10"/>
    </row>
    <row r="37" spans="1:3">
      <c r="A37" s="11" t="s">
        <v>214</v>
      </c>
      <c r="B37" s="17">
        <f>IF('Input'!B375,'Input'!B375,0.01*'Input'!F$58*('Input'!F375*'Input'!E$233+'Input'!G375*'Input'!F$233)+10*('Input'!C375*'Input'!B$233+'Input'!D375*'Input'!C$233+'Input'!E375*'Input'!D$233+'Input'!H375*'Input'!G$233))</f>
        <v>0</v>
      </c>
      <c r="C37" s="10"/>
    </row>
    <row r="38" spans="1:3">
      <c r="A38" s="11" t="s">
        <v>215</v>
      </c>
      <c r="B38" s="17">
        <f>IF('Input'!B376,'Input'!B376,0.01*'Input'!F$58*('Input'!F376*'Input'!E$237+'Input'!G376*'Input'!F$237)+10*('Input'!C376*'Input'!B$237+'Input'!D376*'Input'!C$237+'Input'!E376*'Input'!D$237+'Input'!H376*'Input'!G$237))</f>
        <v>0</v>
      </c>
      <c r="C38" s="10"/>
    </row>
    <row r="39" spans="1:3">
      <c r="A39" s="11" t="s">
        <v>216</v>
      </c>
      <c r="B39" s="17">
        <f>IF('Input'!B377,'Input'!B377,0.01*'Input'!F$58*('Input'!F377*'Input'!E$241+'Input'!G377*'Input'!F$241)+10*('Input'!C377*'Input'!B$241+'Input'!D377*'Input'!C$241+'Input'!E377*'Input'!D$241+'Input'!H377*'Input'!G$241))</f>
        <v>0</v>
      </c>
      <c r="C39" s="10"/>
    </row>
    <row r="41" spans="1:3">
      <c r="A41" s="1" t="s">
        <v>1638</v>
      </c>
    </row>
    <row r="42" spans="1:3">
      <c r="A42" s="2" t="s">
        <v>349</v>
      </c>
    </row>
    <row r="43" spans="1:3">
      <c r="A43" s="12" t="s">
        <v>1520</v>
      </c>
    </row>
    <row r="44" spans="1:3">
      <c r="A44" s="12" t="s">
        <v>1521</v>
      </c>
    </row>
    <row r="45" spans="1:3">
      <c r="A45" s="12" t="s">
        <v>1522</v>
      </c>
    </row>
    <row r="46" spans="1:3">
      <c r="A46" s="12" t="s">
        <v>1523</v>
      </c>
    </row>
    <row r="47" spans="1:3">
      <c r="A47" s="12" t="s">
        <v>1639</v>
      </c>
    </row>
    <row r="48" spans="1:3">
      <c r="A48" s="12" t="s">
        <v>1640</v>
      </c>
    </row>
    <row r="49" spans="1:9">
      <c r="A49" s="12" t="s">
        <v>1641</v>
      </c>
    </row>
    <row r="50" spans="1:9">
      <c r="A50" s="26" t="s">
        <v>352</v>
      </c>
      <c r="B50" s="26" t="s">
        <v>411</v>
      </c>
      <c r="C50" s="26" t="s">
        <v>411</v>
      </c>
      <c r="D50" s="26" t="s">
        <v>411</v>
      </c>
      <c r="E50" s="26" t="s">
        <v>411</v>
      </c>
      <c r="F50" s="26" t="s">
        <v>411</v>
      </c>
      <c r="G50" s="26" t="s">
        <v>411</v>
      </c>
      <c r="H50" s="26" t="s">
        <v>411</v>
      </c>
    </row>
    <row r="51" spans="1:9">
      <c r="A51" s="26" t="s">
        <v>355</v>
      </c>
      <c r="B51" s="26" t="s">
        <v>955</v>
      </c>
      <c r="C51" s="26" t="s">
        <v>414</v>
      </c>
      <c r="D51" s="26" t="s">
        <v>1495</v>
      </c>
      <c r="E51" s="26" t="s">
        <v>1496</v>
      </c>
      <c r="F51" s="26" t="s">
        <v>841</v>
      </c>
      <c r="G51" s="26" t="s">
        <v>1497</v>
      </c>
      <c r="H51" s="26" t="s">
        <v>1642</v>
      </c>
    </row>
    <row r="53" spans="1:9">
      <c r="B53" s="3" t="s">
        <v>221</v>
      </c>
      <c r="C53" s="3" t="s">
        <v>222</v>
      </c>
      <c r="D53" s="3" t="s">
        <v>223</v>
      </c>
      <c r="E53" s="3" t="s">
        <v>224</v>
      </c>
      <c r="F53" s="3" t="s">
        <v>225</v>
      </c>
      <c r="G53" s="3" t="s">
        <v>226</v>
      </c>
      <c r="H53" s="3" t="s">
        <v>570</v>
      </c>
    </row>
    <row r="54" spans="1:9">
      <c r="A54" s="11" t="s">
        <v>172</v>
      </c>
      <c r="B54" s="7">
        <f>'Input'!B$183</f>
        <v>0</v>
      </c>
      <c r="C54" s="7">
        <f>'Input'!C$183</f>
        <v>0</v>
      </c>
      <c r="D54" s="7">
        <f>'Input'!D$183</f>
        <v>0</v>
      </c>
      <c r="E54" s="33">
        <f>'Input'!E$183</f>
        <v>0</v>
      </c>
      <c r="F54" s="33">
        <f>'Input'!F$183</f>
        <v>0</v>
      </c>
      <c r="G54" s="7">
        <f>'Input'!G$183</f>
        <v>0</v>
      </c>
      <c r="H54" s="33">
        <f>'Summary'!B$55</f>
        <v>0</v>
      </c>
      <c r="I54" s="10"/>
    </row>
    <row r="55" spans="1:9">
      <c r="A55" s="11" t="s">
        <v>173</v>
      </c>
      <c r="B55" s="7">
        <f>'Input'!B$187</f>
        <v>0</v>
      </c>
      <c r="C55" s="7">
        <f>'Input'!C$187</f>
        <v>0</v>
      </c>
      <c r="D55" s="7">
        <f>'Input'!D$187</f>
        <v>0</v>
      </c>
      <c r="E55" s="33">
        <f>'Input'!E$187</f>
        <v>0</v>
      </c>
      <c r="F55" s="33">
        <f>'Input'!F$187</f>
        <v>0</v>
      </c>
      <c r="G55" s="7">
        <f>'Input'!G$187</f>
        <v>0</v>
      </c>
      <c r="H55" s="33">
        <f>'Summary'!B$59</f>
        <v>0</v>
      </c>
      <c r="I55" s="10"/>
    </row>
    <row r="56" spans="1:9">
      <c r="A56" s="11" t="s">
        <v>210</v>
      </c>
      <c r="B56" s="7">
        <f>'Input'!B$191</f>
        <v>0</v>
      </c>
      <c r="C56" s="7">
        <f>'Input'!C$191</f>
        <v>0</v>
      </c>
      <c r="D56" s="7">
        <f>'Input'!D$191</f>
        <v>0</v>
      </c>
      <c r="E56" s="33">
        <f>'Input'!E$191</f>
        <v>0</v>
      </c>
      <c r="F56" s="33">
        <f>'Input'!F$191</f>
        <v>0</v>
      </c>
      <c r="G56" s="7">
        <f>'Input'!G$191</f>
        <v>0</v>
      </c>
      <c r="H56" s="33">
        <f>'Summary'!B$63</f>
        <v>0</v>
      </c>
      <c r="I56" s="10"/>
    </row>
    <row r="57" spans="1:9">
      <c r="A57" s="11" t="s">
        <v>174</v>
      </c>
      <c r="B57" s="7">
        <f>'Input'!B$195</f>
        <v>0</v>
      </c>
      <c r="C57" s="7">
        <f>'Input'!C$195</f>
        <v>0</v>
      </c>
      <c r="D57" s="7">
        <f>'Input'!D$195</f>
        <v>0</v>
      </c>
      <c r="E57" s="33">
        <f>'Input'!E$195</f>
        <v>0</v>
      </c>
      <c r="F57" s="33">
        <f>'Input'!F$195</f>
        <v>0</v>
      </c>
      <c r="G57" s="7">
        <f>'Input'!G$195</f>
        <v>0</v>
      </c>
      <c r="H57" s="33">
        <f>'Summary'!B$67</f>
        <v>0</v>
      </c>
      <c r="I57" s="10"/>
    </row>
    <row r="58" spans="1:9">
      <c r="A58" s="11" t="s">
        <v>175</v>
      </c>
      <c r="B58" s="7">
        <f>'Input'!B$199</f>
        <v>0</v>
      </c>
      <c r="C58" s="7">
        <f>'Input'!C$199</f>
        <v>0</v>
      </c>
      <c r="D58" s="7">
        <f>'Input'!D$199</f>
        <v>0</v>
      </c>
      <c r="E58" s="33">
        <f>'Input'!E$199</f>
        <v>0</v>
      </c>
      <c r="F58" s="33">
        <f>'Input'!F$199</f>
        <v>0</v>
      </c>
      <c r="G58" s="7">
        <f>'Input'!G$199</f>
        <v>0</v>
      </c>
      <c r="H58" s="33">
        <f>'Summary'!B$71</f>
        <v>0</v>
      </c>
      <c r="I58" s="10"/>
    </row>
    <row r="59" spans="1:9">
      <c r="A59" s="11" t="s">
        <v>211</v>
      </c>
      <c r="B59" s="7">
        <f>'Input'!B$203</f>
        <v>0</v>
      </c>
      <c r="C59" s="7">
        <f>'Input'!C$203</f>
        <v>0</v>
      </c>
      <c r="D59" s="7">
        <f>'Input'!D$203</f>
        <v>0</v>
      </c>
      <c r="E59" s="33">
        <f>'Input'!E$203</f>
        <v>0</v>
      </c>
      <c r="F59" s="33">
        <f>'Input'!F$203</f>
        <v>0</v>
      </c>
      <c r="G59" s="7">
        <f>'Input'!G$203</f>
        <v>0</v>
      </c>
      <c r="H59" s="33">
        <f>'Summary'!B$75</f>
        <v>0</v>
      </c>
      <c r="I59" s="10"/>
    </row>
    <row r="60" spans="1:9">
      <c r="A60" s="11" t="s">
        <v>176</v>
      </c>
      <c r="B60" s="7">
        <f>'Input'!B$207</f>
        <v>0</v>
      </c>
      <c r="C60" s="7">
        <f>'Input'!C$207</f>
        <v>0</v>
      </c>
      <c r="D60" s="7">
        <f>'Input'!D$207</f>
        <v>0</v>
      </c>
      <c r="E60" s="33">
        <f>'Input'!E$207</f>
        <v>0</v>
      </c>
      <c r="F60" s="33">
        <f>'Input'!F$207</f>
        <v>0</v>
      </c>
      <c r="G60" s="7">
        <f>'Input'!G$207</f>
        <v>0</v>
      </c>
      <c r="H60" s="33">
        <f>'Summary'!B$79</f>
        <v>0</v>
      </c>
      <c r="I60" s="10"/>
    </row>
    <row r="61" spans="1:9">
      <c r="A61" s="11" t="s">
        <v>177</v>
      </c>
      <c r="B61" s="7">
        <f>'Input'!B$211</f>
        <v>0</v>
      </c>
      <c r="C61" s="7">
        <f>'Input'!C$211</f>
        <v>0</v>
      </c>
      <c r="D61" s="7">
        <f>'Input'!D$211</f>
        <v>0</v>
      </c>
      <c r="E61" s="33">
        <f>'Input'!E$211</f>
        <v>0</v>
      </c>
      <c r="F61" s="33">
        <f>'Input'!F$211</f>
        <v>0</v>
      </c>
      <c r="G61" s="7">
        <f>'Input'!G$211</f>
        <v>0</v>
      </c>
      <c r="H61" s="33">
        <f>'Summary'!B$83</f>
        <v>0</v>
      </c>
      <c r="I61" s="10"/>
    </row>
    <row r="62" spans="1:9">
      <c r="A62" s="11" t="s">
        <v>191</v>
      </c>
      <c r="B62" s="7">
        <f>'Input'!B$213</f>
        <v>0</v>
      </c>
      <c r="C62" s="7">
        <f>'Input'!C$213</f>
        <v>0</v>
      </c>
      <c r="D62" s="7">
        <f>'Input'!D$213</f>
        <v>0</v>
      </c>
      <c r="E62" s="33">
        <f>'Input'!E$213</f>
        <v>0</v>
      </c>
      <c r="F62" s="33">
        <f>'Input'!F$213</f>
        <v>0</v>
      </c>
      <c r="G62" s="7">
        <f>'Input'!G$213</f>
        <v>0</v>
      </c>
      <c r="H62" s="33">
        <f>'Summary'!B$85</f>
        <v>0</v>
      </c>
      <c r="I62" s="10"/>
    </row>
    <row r="63" spans="1:9">
      <c r="A63" s="11" t="s">
        <v>178</v>
      </c>
      <c r="B63" s="7">
        <f>'Input'!B$215</f>
        <v>0</v>
      </c>
      <c r="C63" s="7">
        <f>'Input'!C$215</f>
        <v>0</v>
      </c>
      <c r="D63" s="7">
        <f>'Input'!D$215</f>
        <v>0</v>
      </c>
      <c r="E63" s="33">
        <f>'Input'!E$215</f>
        <v>0</v>
      </c>
      <c r="F63" s="33">
        <f>'Input'!F$215</f>
        <v>0</v>
      </c>
      <c r="G63" s="7">
        <f>'Input'!G$215</f>
        <v>0</v>
      </c>
      <c r="H63" s="33">
        <f>'Summary'!B$87</f>
        <v>0</v>
      </c>
      <c r="I63" s="10"/>
    </row>
    <row r="64" spans="1:9">
      <c r="A64" s="11" t="s">
        <v>179</v>
      </c>
      <c r="B64" s="7">
        <f>'Input'!B$219</f>
        <v>0</v>
      </c>
      <c r="C64" s="7">
        <f>'Input'!C$219</f>
        <v>0</v>
      </c>
      <c r="D64" s="7">
        <f>'Input'!D$219</f>
        <v>0</v>
      </c>
      <c r="E64" s="33">
        <f>'Input'!E$219</f>
        <v>0</v>
      </c>
      <c r="F64" s="33">
        <f>'Input'!F$219</f>
        <v>0</v>
      </c>
      <c r="G64" s="7">
        <f>'Input'!G$219</f>
        <v>0</v>
      </c>
      <c r="H64" s="33">
        <f>'Summary'!B$91</f>
        <v>0</v>
      </c>
      <c r="I64" s="10"/>
    </row>
    <row r="65" spans="1:9">
      <c r="A65" s="11" t="s">
        <v>192</v>
      </c>
      <c r="B65" s="7">
        <f>'Input'!B$222</f>
        <v>0</v>
      </c>
      <c r="C65" s="7">
        <f>'Input'!C$222</f>
        <v>0</v>
      </c>
      <c r="D65" s="7">
        <f>'Input'!D$222</f>
        <v>0</v>
      </c>
      <c r="E65" s="33">
        <f>'Input'!E$222</f>
        <v>0</v>
      </c>
      <c r="F65" s="33">
        <f>'Input'!F$222</f>
        <v>0</v>
      </c>
      <c r="G65" s="7">
        <f>'Input'!G$222</f>
        <v>0</v>
      </c>
      <c r="H65" s="33">
        <f>'Summary'!B$94</f>
        <v>0</v>
      </c>
      <c r="I65" s="10"/>
    </row>
    <row r="66" spans="1:9">
      <c r="A66" s="11" t="s">
        <v>212</v>
      </c>
      <c r="B66" s="7">
        <f>'Input'!B$225</f>
        <v>0</v>
      </c>
      <c r="C66" s="7">
        <f>'Input'!C$225</f>
        <v>0</v>
      </c>
      <c r="D66" s="7">
        <f>'Input'!D$225</f>
        <v>0</v>
      </c>
      <c r="E66" s="33">
        <f>'Input'!E$225</f>
        <v>0</v>
      </c>
      <c r="F66" s="33">
        <f>'Input'!F$225</f>
        <v>0</v>
      </c>
      <c r="G66" s="7">
        <f>'Input'!G$225</f>
        <v>0</v>
      </c>
      <c r="H66" s="33">
        <f>'Summary'!B$97</f>
        <v>0</v>
      </c>
      <c r="I66" s="10"/>
    </row>
    <row r="67" spans="1:9">
      <c r="A67" s="11" t="s">
        <v>213</v>
      </c>
      <c r="B67" s="7">
        <f>'Input'!B$229</f>
        <v>0</v>
      </c>
      <c r="C67" s="7">
        <f>'Input'!C$229</f>
        <v>0</v>
      </c>
      <c r="D67" s="7">
        <f>'Input'!D$229</f>
        <v>0</v>
      </c>
      <c r="E67" s="33">
        <f>'Input'!E$229</f>
        <v>0</v>
      </c>
      <c r="F67" s="33">
        <f>'Input'!F$229</f>
        <v>0</v>
      </c>
      <c r="G67" s="7">
        <f>'Input'!G$229</f>
        <v>0</v>
      </c>
      <c r="H67" s="33">
        <f>'Summary'!B$101</f>
        <v>0</v>
      </c>
      <c r="I67" s="10"/>
    </row>
    <row r="68" spans="1:9">
      <c r="A68" s="11" t="s">
        <v>214</v>
      </c>
      <c r="B68" s="7">
        <f>'Input'!B$233</f>
        <v>0</v>
      </c>
      <c r="C68" s="7">
        <f>'Input'!C$233</f>
        <v>0</v>
      </c>
      <c r="D68" s="7">
        <f>'Input'!D$233</f>
        <v>0</v>
      </c>
      <c r="E68" s="33">
        <f>'Input'!E$233</f>
        <v>0</v>
      </c>
      <c r="F68" s="33">
        <f>'Input'!F$233</f>
        <v>0</v>
      </c>
      <c r="G68" s="7">
        <f>'Input'!G$233</f>
        <v>0</v>
      </c>
      <c r="H68" s="33">
        <f>'Summary'!B$105</f>
        <v>0</v>
      </c>
      <c r="I68" s="10"/>
    </row>
    <row r="69" spans="1:9">
      <c r="A69" s="11" t="s">
        <v>215</v>
      </c>
      <c r="B69" s="7">
        <f>'Input'!B$237</f>
        <v>0</v>
      </c>
      <c r="C69" s="7">
        <f>'Input'!C$237</f>
        <v>0</v>
      </c>
      <c r="D69" s="7">
        <f>'Input'!D$237</f>
        <v>0</v>
      </c>
      <c r="E69" s="33">
        <f>'Input'!E$237</f>
        <v>0</v>
      </c>
      <c r="F69" s="33">
        <f>'Input'!F$237</f>
        <v>0</v>
      </c>
      <c r="G69" s="7">
        <f>'Input'!G$237</f>
        <v>0</v>
      </c>
      <c r="H69" s="33">
        <f>'Summary'!B$109</f>
        <v>0</v>
      </c>
      <c r="I69" s="10"/>
    </row>
    <row r="70" spans="1:9">
      <c r="A70" s="11" t="s">
        <v>216</v>
      </c>
      <c r="B70" s="7">
        <f>'Input'!B$241</f>
        <v>0</v>
      </c>
      <c r="C70" s="7">
        <f>'Input'!C$241</f>
        <v>0</v>
      </c>
      <c r="D70" s="7">
        <f>'Input'!D$241</f>
        <v>0</v>
      </c>
      <c r="E70" s="33">
        <f>'Input'!E$241</f>
        <v>0</v>
      </c>
      <c r="F70" s="33">
        <f>'Input'!F$241</f>
        <v>0</v>
      </c>
      <c r="G70" s="7">
        <f>'Input'!G$241</f>
        <v>0</v>
      </c>
      <c r="H70" s="33">
        <f>'Summary'!B$113</f>
        <v>0</v>
      </c>
      <c r="I70" s="10"/>
    </row>
    <row r="71" spans="1:9">
      <c r="A71" s="11" t="s">
        <v>180</v>
      </c>
      <c r="B71" s="7">
        <f>'Input'!B$245</f>
        <v>0</v>
      </c>
      <c r="C71" s="7">
        <f>'Input'!C$245</f>
        <v>0</v>
      </c>
      <c r="D71" s="7">
        <f>'Input'!D$245</f>
        <v>0</v>
      </c>
      <c r="E71" s="33">
        <f>'Input'!E$245</f>
        <v>0</v>
      </c>
      <c r="F71" s="33">
        <f>'Input'!F$245</f>
        <v>0</v>
      </c>
      <c r="G71" s="7">
        <f>'Input'!G$245</f>
        <v>0</v>
      </c>
      <c r="H71" s="33">
        <f>'Summary'!B$117</f>
        <v>0</v>
      </c>
      <c r="I71" s="10"/>
    </row>
    <row r="72" spans="1:9">
      <c r="A72" s="11" t="s">
        <v>181</v>
      </c>
      <c r="B72" s="7">
        <f>'Input'!B$249</f>
        <v>0</v>
      </c>
      <c r="C72" s="7">
        <f>'Input'!C$249</f>
        <v>0</v>
      </c>
      <c r="D72" s="7">
        <f>'Input'!D$249</f>
        <v>0</v>
      </c>
      <c r="E72" s="33">
        <f>'Input'!E$249</f>
        <v>0</v>
      </c>
      <c r="F72" s="33">
        <f>'Input'!F$249</f>
        <v>0</v>
      </c>
      <c r="G72" s="7">
        <f>'Input'!G$249</f>
        <v>0</v>
      </c>
      <c r="H72" s="33">
        <f>'Summary'!B$121</f>
        <v>0</v>
      </c>
      <c r="I72" s="10"/>
    </row>
    <row r="73" spans="1:9">
      <c r="A73" s="11" t="s">
        <v>182</v>
      </c>
      <c r="B73" s="7">
        <f>'Input'!B$252</f>
        <v>0</v>
      </c>
      <c r="C73" s="7">
        <f>'Input'!C$252</f>
        <v>0</v>
      </c>
      <c r="D73" s="7">
        <f>'Input'!D$252</f>
        <v>0</v>
      </c>
      <c r="E73" s="33">
        <f>'Input'!E$252</f>
        <v>0</v>
      </c>
      <c r="F73" s="33">
        <f>'Input'!F$252</f>
        <v>0</v>
      </c>
      <c r="G73" s="7">
        <f>'Input'!G$252</f>
        <v>0</v>
      </c>
      <c r="H73" s="33">
        <f>'Summary'!B$124</f>
        <v>0</v>
      </c>
      <c r="I73" s="10"/>
    </row>
    <row r="74" spans="1:9">
      <c r="A74" s="11" t="s">
        <v>183</v>
      </c>
      <c r="B74" s="7">
        <f>'Input'!B$256</f>
        <v>0</v>
      </c>
      <c r="C74" s="7">
        <f>'Input'!C$256</f>
        <v>0</v>
      </c>
      <c r="D74" s="7">
        <f>'Input'!D$256</f>
        <v>0</v>
      </c>
      <c r="E74" s="33">
        <f>'Input'!E$256</f>
        <v>0</v>
      </c>
      <c r="F74" s="33">
        <f>'Input'!F$256</f>
        <v>0</v>
      </c>
      <c r="G74" s="7">
        <f>'Input'!G$256</f>
        <v>0</v>
      </c>
      <c r="H74" s="33">
        <f>'Summary'!B$128</f>
        <v>0</v>
      </c>
      <c r="I74" s="10"/>
    </row>
    <row r="75" spans="1:9">
      <c r="A75" s="11" t="s">
        <v>184</v>
      </c>
      <c r="B75" s="7">
        <f>'Input'!B$260</f>
        <v>0</v>
      </c>
      <c r="C75" s="7">
        <f>'Input'!C$260</f>
        <v>0</v>
      </c>
      <c r="D75" s="7">
        <f>'Input'!D$260</f>
        <v>0</v>
      </c>
      <c r="E75" s="33">
        <f>'Input'!E$260</f>
        <v>0</v>
      </c>
      <c r="F75" s="33">
        <f>'Input'!F$260</f>
        <v>0</v>
      </c>
      <c r="G75" s="7">
        <f>'Input'!G$260</f>
        <v>0</v>
      </c>
      <c r="H75" s="33">
        <f>'Summary'!B$132</f>
        <v>0</v>
      </c>
      <c r="I75" s="10"/>
    </row>
    <row r="76" spans="1:9">
      <c r="A76" s="11" t="s">
        <v>185</v>
      </c>
      <c r="B76" s="7">
        <f>'Input'!B$263</f>
        <v>0</v>
      </c>
      <c r="C76" s="7">
        <f>'Input'!C$263</f>
        <v>0</v>
      </c>
      <c r="D76" s="7">
        <f>'Input'!D$263</f>
        <v>0</v>
      </c>
      <c r="E76" s="33">
        <f>'Input'!E$263</f>
        <v>0</v>
      </c>
      <c r="F76" s="33">
        <f>'Input'!F$263</f>
        <v>0</v>
      </c>
      <c r="G76" s="7">
        <f>'Input'!G$263</f>
        <v>0</v>
      </c>
      <c r="H76" s="33">
        <f>'Summary'!B$135</f>
        <v>0</v>
      </c>
      <c r="I76" s="10"/>
    </row>
    <row r="77" spans="1:9">
      <c r="A77" s="11" t="s">
        <v>193</v>
      </c>
      <c r="B77" s="7">
        <f>'Input'!B$266</f>
        <v>0</v>
      </c>
      <c r="C77" s="7">
        <f>'Input'!C$266</f>
        <v>0</v>
      </c>
      <c r="D77" s="7">
        <f>'Input'!D$266</f>
        <v>0</v>
      </c>
      <c r="E77" s="33">
        <f>'Input'!E$266</f>
        <v>0</v>
      </c>
      <c r="F77" s="33">
        <f>'Input'!F$266</f>
        <v>0</v>
      </c>
      <c r="G77" s="7">
        <f>'Input'!G$266</f>
        <v>0</v>
      </c>
      <c r="H77" s="33">
        <f>'Summary'!B$138</f>
        <v>0</v>
      </c>
      <c r="I77" s="10"/>
    </row>
    <row r="78" spans="1:9">
      <c r="A78" s="11" t="s">
        <v>194</v>
      </c>
      <c r="B78" s="7">
        <f>'Input'!B$269</f>
        <v>0</v>
      </c>
      <c r="C78" s="7">
        <f>'Input'!C$269</f>
        <v>0</v>
      </c>
      <c r="D78" s="7">
        <f>'Input'!D$269</f>
        <v>0</v>
      </c>
      <c r="E78" s="33">
        <f>'Input'!E$269</f>
        <v>0</v>
      </c>
      <c r="F78" s="33">
        <f>'Input'!F$269</f>
        <v>0</v>
      </c>
      <c r="G78" s="7">
        <f>'Input'!G$269</f>
        <v>0</v>
      </c>
      <c r="H78" s="33">
        <f>'Summary'!B$141</f>
        <v>0</v>
      </c>
      <c r="I78" s="10"/>
    </row>
    <row r="80" spans="1:9">
      <c r="A80" s="1" t="s">
        <v>1643</v>
      </c>
    </row>
    <row r="82" spans="1:3">
      <c r="B82" s="3" t="s">
        <v>1644</v>
      </c>
    </row>
    <row r="83" spans="1:3">
      <c r="A83" s="11" t="s">
        <v>172</v>
      </c>
      <c r="B83" s="5" t="s">
        <v>1645</v>
      </c>
      <c r="C83" s="10"/>
    </row>
    <row r="84" spans="1:3">
      <c r="A84" s="11" t="s">
        <v>173</v>
      </c>
      <c r="B84" s="5" t="s">
        <v>1645</v>
      </c>
      <c r="C84" s="10"/>
    </row>
    <row r="85" spans="1:3">
      <c r="A85" s="11" t="s">
        <v>210</v>
      </c>
      <c r="B85" s="5" t="s">
        <v>1645</v>
      </c>
      <c r="C85" s="10"/>
    </row>
    <row r="86" spans="1:3">
      <c r="A86" s="11" t="s">
        <v>174</v>
      </c>
      <c r="B86" s="5" t="s">
        <v>1645</v>
      </c>
      <c r="C86" s="10"/>
    </row>
    <row r="87" spans="1:3">
      <c r="A87" s="11" t="s">
        <v>175</v>
      </c>
      <c r="B87" s="5" t="s">
        <v>1645</v>
      </c>
      <c r="C87" s="10"/>
    </row>
    <row r="88" spans="1:3">
      <c r="A88" s="11" t="s">
        <v>211</v>
      </c>
      <c r="B88" s="5" t="s">
        <v>1645</v>
      </c>
      <c r="C88" s="10"/>
    </row>
    <row r="89" spans="1:3">
      <c r="A89" s="11" t="s">
        <v>176</v>
      </c>
      <c r="B89" s="5" t="s">
        <v>1645</v>
      </c>
      <c r="C89" s="10"/>
    </row>
    <row r="90" spans="1:3">
      <c r="A90" s="11" t="s">
        <v>177</v>
      </c>
      <c r="B90" s="5" t="s">
        <v>1645</v>
      </c>
      <c r="C90" s="10"/>
    </row>
    <row r="91" spans="1:3">
      <c r="A91" s="11" t="s">
        <v>191</v>
      </c>
      <c r="B91" s="5" t="s">
        <v>1645</v>
      </c>
      <c r="C91" s="10"/>
    </row>
    <row r="92" spans="1:3">
      <c r="A92" s="11" t="s">
        <v>178</v>
      </c>
      <c r="B92" s="5" t="s">
        <v>1646</v>
      </c>
      <c r="C92" s="10"/>
    </row>
    <row r="93" spans="1:3">
      <c r="A93" s="11" t="s">
        <v>179</v>
      </c>
      <c r="B93" s="5" t="s">
        <v>1646</v>
      </c>
      <c r="C93" s="10"/>
    </row>
    <row r="94" spans="1:3">
      <c r="A94" s="11" t="s">
        <v>192</v>
      </c>
      <c r="B94" s="5" t="s">
        <v>1646</v>
      </c>
      <c r="C94" s="10"/>
    </row>
    <row r="95" spans="1:3">
      <c r="A95" s="11" t="s">
        <v>212</v>
      </c>
      <c r="B95" s="5" t="s">
        <v>1647</v>
      </c>
      <c r="C95" s="10"/>
    </row>
    <row r="96" spans="1:3">
      <c r="A96" s="11" t="s">
        <v>213</v>
      </c>
      <c r="B96" s="5" t="s">
        <v>1647</v>
      </c>
      <c r="C96" s="10"/>
    </row>
    <row r="97" spans="1:3">
      <c r="A97" s="11" t="s">
        <v>214</v>
      </c>
      <c r="B97" s="5" t="s">
        <v>1647</v>
      </c>
      <c r="C97" s="10"/>
    </row>
    <row r="98" spans="1:3">
      <c r="A98" s="11" t="s">
        <v>215</v>
      </c>
      <c r="B98" s="5" t="s">
        <v>1647</v>
      </c>
      <c r="C98" s="10"/>
    </row>
    <row r="99" spans="1:3">
      <c r="A99" s="11" t="s">
        <v>216</v>
      </c>
      <c r="B99" s="5" t="s">
        <v>1647</v>
      </c>
      <c r="C99" s="10"/>
    </row>
    <row r="100" spans="1:3">
      <c r="A100" s="11" t="s">
        <v>180</v>
      </c>
      <c r="B100" s="5" t="s">
        <v>1647</v>
      </c>
      <c r="C100" s="10"/>
    </row>
    <row r="101" spans="1:3">
      <c r="A101" s="11" t="s">
        <v>181</v>
      </c>
      <c r="B101" s="5" t="s">
        <v>1647</v>
      </c>
      <c r="C101" s="10"/>
    </row>
    <row r="102" spans="1:3">
      <c r="A102" s="11" t="s">
        <v>182</v>
      </c>
      <c r="B102" s="5" t="s">
        <v>1647</v>
      </c>
      <c r="C102" s="10"/>
    </row>
    <row r="103" spans="1:3">
      <c r="A103" s="11" t="s">
        <v>183</v>
      </c>
      <c r="B103" s="5" t="s">
        <v>1647</v>
      </c>
      <c r="C103" s="10"/>
    </row>
    <row r="104" spans="1:3">
      <c r="A104" s="11" t="s">
        <v>184</v>
      </c>
      <c r="B104" s="5" t="s">
        <v>1647</v>
      </c>
      <c r="C104" s="10"/>
    </row>
    <row r="105" spans="1:3">
      <c r="A105" s="11" t="s">
        <v>185</v>
      </c>
      <c r="B105" s="5" t="s">
        <v>1647</v>
      </c>
      <c r="C105" s="10"/>
    </row>
    <row r="106" spans="1:3">
      <c r="A106" s="11" t="s">
        <v>193</v>
      </c>
      <c r="B106" s="5" t="s">
        <v>1647</v>
      </c>
      <c r="C106" s="10"/>
    </row>
    <row r="107" spans="1:3">
      <c r="A107" s="11" t="s">
        <v>194</v>
      </c>
      <c r="B107" s="5" t="s">
        <v>1647</v>
      </c>
      <c r="C107" s="10"/>
    </row>
    <row r="109" spans="1:3">
      <c r="A109" s="1" t="s">
        <v>1648</v>
      </c>
    </row>
    <row r="110" spans="1:3">
      <c r="A110" s="2" t="s">
        <v>349</v>
      </c>
    </row>
    <row r="111" spans="1:3">
      <c r="A111" s="12" t="s">
        <v>1649</v>
      </c>
    </row>
    <row r="112" spans="1:3">
      <c r="A112" s="12" t="s">
        <v>1650</v>
      </c>
    </row>
    <row r="113" spans="1:1">
      <c r="A113" s="12" t="s">
        <v>1651</v>
      </c>
    </row>
    <row r="114" spans="1:1">
      <c r="A114" s="12" t="s">
        <v>1652</v>
      </c>
    </row>
    <row r="115" spans="1:1">
      <c r="A115" s="12" t="s">
        <v>1653</v>
      </c>
    </row>
    <row r="116" spans="1:1">
      <c r="A116" s="12" t="s">
        <v>1654</v>
      </c>
    </row>
    <row r="117" spans="1:1">
      <c r="A117" s="12" t="s">
        <v>1655</v>
      </c>
    </row>
    <row r="118" spans="1:1">
      <c r="A118" s="12" t="s">
        <v>1656</v>
      </c>
    </row>
    <row r="119" spans="1:1">
      <c r="A119" s="12" t="s">
        <v>1657</v>
      </c>
    </row>
    <row r="120" spans="1:1">
      <c r="A120" s="12" t="s">
        <v>1658</v>
      </c>
    </row>
    <row r="121" spans="1:1">
      <c r="A121" s="12" t="s">
        <v>1659</v>
      </c>
    </row>
    <row r="122" spans="1:1">
      <c r="A122" s="12" t="s">
        <v>1660</v>
      </c>
    </row>
    <row r="123" spans="1:1">
      <c r="A123" s="12" t="s">
        <v>1661</v>
      </c>
    </row>
    <row r="124" spans="1:1">
      <c r="A124" s="12" t="s">
        <v>1662</v>
      </c>
    </row>
    <row r="125" spans="1:1">
      <c r="A125" s="12" t="s">
        <v>1663</v>
      </c>
    </row>
    <row r="126" spans="1:1">
      <c r="A126" s="12" t="s">
        <v>1664</v>
      </c>
    </row>
    <row r="127" spans="1:1">
      <c r="A127" s="12" t="s">
        <v>1665</v>
      </c>
    </row>
    <row r="128" spans="1:1">
      <c r="A128" s="12" t="s">
        <v>1666</v>
      </c>
    </row>
    <row r="129" spans="1:9">
      <c r="A129" s="12" t="s">
        <v>1667</v>
      </c>
    </row>
    <row r="130" spans="1:9">
      <c r="A130" s="12" t="s">
        <v>1668</v>
      </c>
    </row>
    <row r="131" spans="1:9">
      <c r="A131" s="12" t="s">
        <v>1669</v>
      </c>
    </row>
    <row r="132" spans="1:9">
      <c r="A132" s="26" t="s">
        <v>352</v>
      </c>
      <c r="B132" s="26" t="s">
        <v>482</v>
      </c>
      <c r="C132" s="26" t="s">
        <v>482</v>
      </c>
      <c r="D132" s="26" t="s">
        <v>482</v>
      </c>
      <c r="E132" s="26" t="s">
        <v>482</v>
      </c>
      <c r="F132" s="26" t="s">
        <v>482</v>
      </c>
      <c r="G132" s="26" t="s">
        <v>482</v>
      </c>
      <c r="H132" s="26" t="s">
        <v>482</v>
      </c>
    </row>
    <row r="133" spans="1:9">
      <c r="A133" s="26" t="s">
        <v>355</v>
      </c>
      <c r="B133" s="26" t="s">
        <v>1670</v>
      </c>
      <c r="C133" s="26" t="s">
        <v>1671</v>
      </c>
      <c r="D133" s="26" t="s">
        <v>1672</v>
      </c>
      <c r="E133" s="26" t="s">
        <v>1673</v>
      </c>
      <c r="F133" s="26" t="s">
        <v>1674</v>
      </c>
      <c r="G133" s="26" t="s">
        <v>1675</v>
      </c>
      <c r="H133" s="26" t="s">
        <v>1676</v>
      </c>
    </row>
    <row r="135" spans="1:9">
      <c r="B135" s="3" t="s">
        <v>1677</v>
      </c>
      <c r="C135" s="3" t="s">
        <v>1678</v>
      </c>
      <c r="D135" s="3" t="s">
        <v>1679</v>
      </c>
      <c r="E135" s="3" t="s">
        <v>1680</v>
      </c>
      <c r="F135" s="3" t="s">
        <v>1681</v>
      </c>
      <c r="G135" s="3" t="s">
        <v>1682</v>
      </c>
      <c r="H135" s="3" t="s">
        <v>1683</v>
      </c>
    </row>
    <row r="136" spans="1:9">
      <c r="A136" s="22" t="s">
        <v>172</v>
      </c>
      <c r="I136" s="10"/>
    </row>
    <row r="137" spans="1:9">
      <c r="A137" s="11" t="s">
        <v>172</v>
      </c>
      <c r="B137" s="6">
        <f>B$54/IF(B$83="kVA",IF(F$54,F$54,1),IF(B$83="MPAN",IF(E$54,E$54,1),IF(H$54,H$54,1)))</f>
        <v>0</v>
      </c>
      <c r="C137" s="6">
        <f>C$54/IF(B$83="kVA",IF(F$54,F$54,1),IF(B$83="MPAN",IF(E$54,E$54,1),IF(H$54,H$54,1)))</f>
        <v>0</v>
      </c>
      <c r="D137" s="6">
        <f>D$54/IF(B$83="kVA",IF(F$54,F$54,1),IF(B$83="MPAN",IF(E$54,E$54,1),IF(H$54,H$54,1)))</f>
        <v>0</v>
      </c>
      <c r="E137" s="6">
        <f>E$54/IF(B$83="kVA",IF(F$54,F$54,1),IF(B$83="MPAN",IF(E$54,E$54,1),IF(H$54,H$54,1)))</f>
        <v>0</v>
      </c>
      <c r="F137" s="6">
        <f>F$54/IF(B$83="kVA",IF(F$54,F$54,1),IF(B$83="MPAN",IF(E$54,E$54,1),IF(H$54,H$54,1)))</f>
        <v>0</v>
      </c>
      <c r="G137" s="6">
        <f>G$54/IF(B$83="kVA",IF(F$54,F$54,1),IF(B$83="MPAN",IF(E$54,E$54,1),IF(H$54,H$54,1)))</f>
        <v>0</v>
      </c>
      <c r="H137" s="35">
        <f>0.01*'Input'!F$58*('Adjust'!$E$215*E137+'Adjust'!$F$215*F137)+10*('Adjust'!$B$215*B137+'Adjust'!$C$215*C137+'Adjust'!$D$215*D137+'Adjust'!$G$215*G137)</f>
        <v>0</v>
      </c>
      <c r="I137" s="10"/>
    </row>
    <row r="138" spans="1:9">
      <c r="A138" s="11" t="s">
        <v>228</v>
      </c>
      <c r="B138" s="6">
        <f>B$54/IF(B$83="kVA",IF(F$54,F$54,1),IF(B$83="MPAN",IF(E$54,E$54,1),IF(H$54,H$54,1)))</f>
        <v>0</v>
      </c>
      <c r="C138" s="6">
        <f>C$54/IF(B$83="kVA",IF(F$54,F$54,1),IF(B$83="MPAN",IF(E$54,E$54,1),IF(H$54,H$54,1)))</f>
        <v>0</v>
      </c>
      <c r="D138" s="6">
        <f>D$54/IF(B$83="kVA",IF(F$54,F$54,1),IF(B$83="MPAN",IF(E$54,E$54,1),IF(H$54,H$54,1)))</f>
        <v>0</v>
      </c>
      <c r="E138" s="6">
        <f>E$54/IF(B$83="kVA",IF(F$54,F$54,1),IF(B$83="MPAN",IF(E$54,E$54,1),IF(H$54,H$54,1)))</f>
        <v>0</v>
      </c>
      <c r="F138" s="6">
        <f>F$54/IF(B$83="kVA",IF(F$54,F$54,1),IF(B$83="MPAN",IF(E$54,E$54,1),IF(H$54,H$54,1)))</f>
        <v>0</v>
      </c>
      <c r="G138" s="6">
        <f>G$54/IF(B$83="kVA",IF(F$54,F$54,1),IF(B$83="MPAN",IF(E$54,E$54,1),IF(H$54,H$54,1)))</f>
        <v>0</v>
      </c>
      <c r="H138" s="35">
        <f>0.01*'Input'!F$58*('Adjust'!$E$216*E138+'Adjust'!$F$216*F138)+10*('Adjust'!$B$216*B138+'Adjust'!$C$216*C138+'Adjust'!$D$216*D138+'Adjust'!$G$216*G138)</f>
        <v>0</v>
      </c>
      <c r="I138" s="10"/>
    </row>
    <row r="139" spans="1:9">
      <c r="A139" s="11" t="s">
        <v>229</v>
      </c>
      <c r="B139" s="6">
        <f>B$54/IF(B$83="kVA",IF(F$54,F$54,1),IF(B$83="MPAN",IF(E$54,E$54,1),IF(H$54,H$54,1)))</f>
        <v>0</v>
      </c>
      <c r="C139" s="6">
        <f>C$54/IF(B$83="kVA",IF(F$54,F$54,1),IF(B$83="MPAN",IF(E$54,E$54,1),IF(H$54,H$54,1)))</f>
        <v>0</v>
      </c>
      <c r="D139" s="6">
        <f>D$54/IF(B$83="kVA",IF(F$54,F$54,1),IF(B$83="MPAN",IF(E$54,E$54,1),IF(H$54,H$54,1)))</f>
        <v>0</v>
      </c>
      <c r="E139" s="6">
        <f>E$54/IF(B$83="kVA",IF(F$54,F$54,1),IF(B$83="MPAN",IF(E$54,E$54,1),IF(H$54,H$54,1)))</f>
        <v>0</v>
      </c>
      <c r="F139" s="6">
        <f>F$54/IF(B$83="kVA",IF(F$54,F$54,1),IF(B$83="MPAN",IF(E$54,E$54,1),IF(H$54,H$54,1)))</f>
        <v>0</v>
      </c>
      <c r="G139" s="6">
        <f>G$54/IF(B$83="kVA",IF(F$54,F$54,1),IF(B$83="MPAN",IF(E$54,E$54,1),IF(H$54,H$54,1)))</f>
        <v>0</v>
      </c>
      <c r="H139" s="35">
        <f>0.01*'Input'!F$58*('Adjust'!$E$217*E139+'Adjust'!$F$217*F139)+10*('Adjust'!$B$217*B139+'Adjust'!$C$217*C139+'Adjust'!$D$217*D139+'Adjust'!$G$217*G139)</f>
        <v>0</v>
      </c>
      <c r="I139" s="10"/>
    </row>
    <row r="140" spans="1:9">
      <c r="A140" s="22" t="s">
        <v>173</v>
      </c>
      <c r="I140" s="10"/>
    </row>
    <row r="141" spans="1:9">
      <c r="A141" s="11" t="s">
        <v>173</v>
      </c>
      <c r="B141" s="6">
        <f>B$55/IF(B$84="kVA",IF(F$55,F$55,1),IF(B$84="MPAN",IF(E$55,E$55,1),IF(H$55,H$55,1)))</f>
        <v>0</v>
      </c>
      <c r="C141" s="6">
        <f>C$55/IF(B$84="kVA",IF(F$55,F$55,1),IF(B$84="MPAN",IF(E$55,E$55,1),IF(H$55,H$55,1)))</f>
        <v>0</v>
      </c>
      <c r="D141" s="6">
        <f>D$55/IF(B$84="kVA",IF(F$55,F$55,1),IF(B$84="MPAN",IF(E$55,E$55,1),IF(H$55,H$55,1)))</f>
        <v>0</v>
      </c>
      <c r="E141" s="6">
        <f>E$55/IF(B$84="kVA",IF(F$55,F$55,1),IF(B$84="MPAN",IF(E$55,E$55,1),IF(H$55,H$55,1)))</f>
        <v>0</v>
      </c>
      <c r="F141" s="6">
        <f>F$55/IF(B$84="kVA",IF(F$55,F$55,1),IF(B$84="MPAN",IF(E$55,E$55,1),IF(H$55,H$55,1)))</f>
        <v>0</v>
      </c>
      <c r="G141" s="6">
        <f>G$55/IF(B$84="kVA",IF(F$55,F$55,1),IF(B$84="MPAN",IF(E$55,E$55,1),IF(H$55,H$55,1)))</f>
        <v>0</v>
      </c>
      <c r="H141" s="35">
        <f>0.01*'Input'!F$58*('Adjust'!$E$219*E141+'Adjust'!$F$219*F141)+10*('Adjust'!$B$219*B141+'Adjust'!$C$219*C141+'Adjust'!$D$219*D141+'Adjust'!$G$219*G141)</f>
        <v>0</v>
      </c>
      <c r="I141" s="10"/>
    </row>
    <row r="142" spans="1:9">
      <c r="A142" s="11" t="s">
        <v>231</v>
      </c>
      <c r="B142" s="6">
        <f>B$55/IF(B$84="kVA",IF(F$55,F$55,1),IF(B$84="MPAN",IF(E$55,E$55,1),IF(H$55,H$55,1)))</f>
        <v>0</v>
      </c>
      <c r="C142" s="6">
        <f>C$55/IF(B$84="kVA",IF(F$55,F$55,1),IF(B$84="MPAN",IF(E$55,E$55,1),IF(H$55,H$55,1)))</f>
        <v>0</v>
      </c>
      <c r="D142" s="6">
        <f>D$55/IF(B$84="kVA",IF(F$55,F$55,1),IF(B$84="MPAN",IF(E$55,E$55,1),IF(H$55,H$55,1)))</f>
        <v>0</v>
      </c>
      <c r="E142" s="6">
        <f>E$55/IF(B$84="kVA",IF(F$55,F$55,1),IF(B$84="MPAN",IF(E$55,E$55,1),IF(H$55,H$55,1)))</f>
        <v>0</v>
      </c>
      <c r="F142" s="6">
        <f>F$55/IF(B$84="kVA",IF(F$55,F$55,1),IF(B$84="MPAN",IF(E$55,E$55,1),IF(H$55,H$55,1)))</f>
        <v>0</v>
      </c>
      <c r="G142" s="6">
        <f>G$55/IF(B$84="kVA",IF(F$55,F$55,1),IF(B$84="MPAN",IF(E$55,E$55,1),IF(H$55,H$55,1)))</f>
        <v>0</v>
      </c>
      <c r="H142" s="35">
        <f>0.01*'Input'!F$58*('Adjust'!$E$220*E142+'Adjust'!$F$220*F142)+10*('Adjust'!$B$220*B142+'Adjust'!$C$220*C142+'Adjust'!$D$220*D142+'Adjust'!$G$220*G142)</f>
        <v>0</v>
      </c>
      <c r="I142" s="10"/>
    </row>
    <row r="143" spans="1:9">
      <c r="A143" s="11" t="s">
        <v>232</v>
      </c>
      <c r="B143" s="6">
        <f>B$55/IF(B$84="kVA",IF(F$55,F$55,1),IF(B$84="MPAN",IF(E$55,E$55,1),IF(H$55,H$55,1)))</f>
        <v>0</v>
      </c>
      <c r="C143" s="6">
        <f>C$55/IF(B$84="kVA",IF(F$55,F$55,1),IF(B$84="MPAN",IF(E$55,E$55,1),IF(H$55,H$55,1)))</f>
        <v>0</v>
      </c>
      <c r="D143" s="6">
        <f>D$55/IF(B$84="kVA",IF(F$55,F$55,1),IF(B$84="MPAN",IF(E$55,E$55,1),IF(H$55,H$55,1)))</f>
        <v>0</v>
      </c>
      <c r="E143" s="6">
        <f>E$55/IF(B$84="kVA",IF(F$55,F$55,1),IF(B$84="MPAN",IF(E$55,E$55,1),IF(H$55,H$55,1)))</f>
        <v>0</v>
      </c>
      <c r="F143" s="6">
        <f>F$55/IF(B$84="kVA",IF(F$55,F$55,1),IF(B$84="MPAN",IF(E$55,E$55,1),IF(H$55,H$55,1)))</f>
        <v>0</v>
      </c>
      <c r="G143" s="6">
        <f>G$55/IF(B$84="kVA",IF(F$55,F$55,1),IF(B$84="MPAN",IF(E$55,E$55,1),IF(H$55,H$55,1)))</f>
        <v>0</v>
      </c>
      <c r="H143" s="35">
        <f>0.01*'Input'!F$58*('Adjust'!$E$221*E143+'Adjust'!$F$221*F143)+10*('Adjust'!$B$221*B143+'Adjust'!$C$221*C143+'Adjust'!$D$221*D143+'Adjust'!$G$221*G143)</f>
        <v>0</v>
      </c>
      <c r="I143" s="10"/>
    </row>
    <row r="144" spans="1:9">
      <c r="A144" s="22" t="s">
        <v>210</v>
      </c>
      <c r="I144" s="10"/>
    </row>
    <row r="145" spans="1:9">
      <c r="A145" s="11" t="s">
        <v>210</v>
      </c>
      <c r="B145" s="6">
        <f>B$56/IF(B$85="kVA",IF(F$56,F$56,1),IF(B$85="MPAN",IF(E$56,E$56,1),IF(H$56,H$56,1)))</f>
        <v>0</v>
      </c>
      <c r="C145" s="6">
        <f>C$56/IF(B$85="kVA",IF(F$56,F$56,1),IF(B$85="MPAN",IF(E$56,E$56,1),IF(H$56,H$56,1)))</f>
        <v>0</v>
      </c>
      <c r="D145" s="6">
        <f>D$56/IF(B$85="kVA",IF(F$56,F$56,1),IF(B$85="MPAN",IF(E$56,E$56,1),IF(H$56,H$56,1)))</f>
        <v>0</v>
      </c>
      <c r="E145" s="6">
        <f>E$56/IF(B$85="kVA",IF(F$56,F$56,1),IF(B$85="MPAN",IF(E$56,E$56,1),IF(H$56,H$56,1)))</f>
        <v>0</v>
      </c>
      <c r="F145" s="6">
        <f>F$56/IF(B$85="kVA",IF(F$56,F$56,1),IF(B$85="MPAN",IF(E$56,E$56,1),IF(H$56,H$56,1)))</f>
        <v>0</v>
      </c>
      <c r="G145" s="6">
        <f>G$56/IF(B$85="kVA",IF(F$56,F$56,1),IF(B$85="MPAN",IF(E$56,E$56,1),IF(H$56,H$56,1)))</f>
        <v>0</v>
      </c>
      <c r="H145" s="35">
        <f>0.01*'Input'!F$58*('Adjust'!$E$223*E145+'Adjust'!$F$223*F145)+10*('Adjust'!$B$223*B145+'Adjust'!$C$223*C145+'Adjust'!$D$223*D145+'Adjust'!$G$223*G145)</f>
        <v>0</v>
      </c>
      <c r="I145" s="10"/>
    </row>
    <row r="146" spans="1:9">
      <c r="A146" s="11" t="s">
        <v>234</v>
      </c>
      <c r="B146" s="6">
        <f>B$56/IF(B$85="kVA",IF(F$56,F$56,1),IF(B$85="MPAN",IF(E$56,E$56,1),IF(H$56,H$56,1)))</f>
        <v>0</v>
      </c>
      <c r="C146" s="6">
        <f>C$56/IF(B$85="kVA",IF(F$56,F$56,1),IF(B$85="MPAN",IF(E$56,E$56,1),IF(H$56,H$56,1)))</f>
        <v>0</v>
      </c>
      <c r="D146" s="6">
        <f>D$56/IF(B$85="kVA",IF(F$56,F$56,1),IF(B$85="MPAN",IF(E$56,E$56,1),IF(H$56,H$56,1)))</f>
        <v>0</v>
      </c>
      <c r="E146" s="6">
        <f>E$56/IF(B$85="kVA",IF(F$56,F$56,1),IF(B$85="MPAN",IF(E$56,E$56,1),IF(H$56,H$56,1)))</f>
        <v>0</v>
      </c>
      <c r="F146" s="6">
        <f>F$56/IF(B$85="kVA",IF(F$56,F$56,1),IF(B$85="MPAN",IF(E$56,E$56,1),IF(H$56,H$56,1)))</f>
        <v>0</v>
      </c>
      <c r="G146" s="6">
        <f>G$56/IF(B$85="kVA",IF(F$56,F$56,1),IF(B$85="MPAN",IF(E$56,E$56,1),IF(H$56,H$56,1)))</f>
        <v>0</v>
      </c>
      <c r="H146" s="35">
        <f>0.01*'Input'!F$58*('Adjust'!$E$224*E146+'Adjust'!$F$224*F146)+10*('Adjust'!$B$224*B146+'Adjust'!$C$224*C146+'Adjust'!$D$224*D146+'Adjust'!$G$224*G146)</f>
        <v>0</v>
      </c>
      <c r="I146" s="10"/>
    </row>
    <row r="147" spans="1:9">
      <c r="A147" s="11" t="s">
        <v>235</v>
      </c>
      <c r="B147" s="6">
        <f>B$56/IF(B$85="kVA",IF(F$56,F$56,1),IF(B$85="MPAN",IF(E$56,E$56,1),IF(H$56,H$56,1)))</f>
        <v>0</v>
      </c>
      <c r="C147" s="6">
        <f>C$56/IF(B$85="kVA",IF(F$56,F$56,1),IF(B$85="MPAN",IF(E$56,E$56,1),IF(H$56,H$56,1)))</f>
        <v>0</v>
      </c>
      <c r="D147" s="6">
        <f>D$56/IF(B$85="kVA",IF(F$56,F$56,1),IF(B$85="MPAN",IF(E$56,E$56,1),IF(H$56,H$56,1)))</f>
        <v>0</v>
      </c>
      <c r="E147" s="6">
        <f>E$56/IF(B$85="kVA",IF(F$56,F$56,1),IF(B$85="MPAN",IF(E$56,E$56,1),IF(H$56,H$56,1)))</f>
        <v>0</v>
      </c>
      <c r="F147" s="6">
        <f>F$56/IF(B$85="kVA",IF(F$56,F$56,1),IF(B$85="MPAN",IF(E$56,E$56,1),IF(H$56,H$56,1)))</f>
        <v>0</v>
      </c>
      <c r="G147" s="6">
        <f>G$56/IF(B$85="kVA",IF(F$56,F$56,1),IF(B$85="MPAN",IF(E$56,E$56,1),IF(H$56,H$56,1)))</f>
        <v>0</v>
      </c>
      <c r="H147" s="35">
        <f>0.01*'Input'!F$58*('Adjust'!$E$225*E147+'Adjust'!$F$225*F147)+10*('Adjust'!$B$225*B147+'Adjust'!$C$225*C147+'Adjust'!$D$225*D147+'Adjust'!$G$225*G147)</f>
        <v>0</v>
      </c>
      <c r="I147" s="10"/>
    </row>
    <row r="148" spans="1:9">
      <c r="A148" s="22" t="s">
        <v>174</v>
      </c>
      <c r="I148" s="10"/>
    </row>
    <row r="149" spans="1:9">
      <c r="A149" s="11" t="s">
        <v>174</v>
      </c>
      <c r="B149" s="6">
        <f>B$57/IF(B$86="kVA",IF(F$57,F$57,1),IF(B$86="MPAN",IF(E$57,E$57,1),IF(H$57,H$57,1)))</f>
        <v>0</v>
      </c>
      <c r="C149" s="6">
        <f>C$57/IF(B$86="kVA",IF(F$57,F$57,1),IF(B$86="MPAN",IF(E$57,E$57,1),IF(H$57,H$57,1)))</f>
        <v>0</v>
      </c>
      <c r="D149" s="6">
        <f>D$57/IF(B$86="kVA",IF(F$57,F$57,1),IF(B$86="MPAN",IF(E$57,E$57,1),IF(H$57,H$57,1)))</f>
        <v>0</v>
      </c>
      <c r="E149" s="6">
        <f>E$57/IF(B$86="kVA",IF(F$57,F$57,1),IF(B$86="MPAN",IF(E$57,E$57,1),IF(H$57,H$57,1)))</f>
        <v>0</v>
      </c>
      <c r="F149" s="6">
        <f>F$57/IF(B$86="kVA",IF(F$57,F$57,1),IF(B$86="MPAN",IF(E$57,E$57,1),IF(H$57,H$57,1)))</f>
        <v>0</v>
      </c>
      <c r="G149" s="6">
        <f>G$57/IF(B$86="kVA",IF(F$57,F$57,1),IF(B$86="MPAN",IF(E$57,E$57,1),IF(H$57,H$57,1)))</f>
        <v>0</v>
      </c>
      <c r="H149" s="35">
        <f>0.01*'Input'!F$58*('Adjust'!$E$227*E149+'Adjust'!$F$227*F149)+10*('Adjust'!$B$227*B149+'Adjust'!$C$227*C149+'Adjust'!$D$227*D149+'Adjust'!$G$227*G149)</f>
        <v>0</v>
      </c>
      <c r="I149" s="10"/>
    </row>
    <row r="150" spans="1:9">
      <c r="A150" s="11" t="s">
        <v>237</v>
      </c>
      <c r="B150" s="6">
        <f>B$57/IF(B$86="kVA",IF(F$57,F$57,1),IF(B$86="MPAN",IF(E$57,E$57,1),IF(H$57,H$57,1)))</f>
        <v>0</v>
      </c>
      <c r="C150" s="6">
        <f>C$57/IF(B$86="kVA",IF(F$57,F$57,1),IF(B$86="MPAN",IF(E$57,E$57,1),IF(H$57,H$57,1)))</f>
        <v>0</v>
      </c>
      <c r="D150" s="6">
        <f>D$57/IF(B$86="kVA",IF(F$57,F$57,1),IF(B$86="MPAN",IF(E$57,E$57,1),IF(H$57,H$57,1)))</f>
        <v>0</v>
      </c>
      <c r="E150" s="6">
        <f>E$57/IF(B$86="kVA",IF(F$57,F$57,1),IF(B$86="MPAN",IF(E$57,E$57,1),IF(H$57,H$57,1)))</f>
        <v>0</v>
      </c>
      <c r="F150" s="6">
        <f>F$57/IF(B$86="kVA",IF(F$57,F$57,1),IF(B$86="MPAN",IF(E$57,E$57,1),IF(H$57,H$57,1)))</f>
        <v>0</v>
      </c>
      <c r="G150" s="6">
        <f>G$57/IF(B$86="kVA",IF(F$57,F$57,1),IF(B$86="MPAN",IF(E$57,E$57,1),IF(H$57,H$57,1)))</f>
        <v>0</v>
      </c>
      <c r="H150" s="35">
        <f>0.01*'Input'!F$58*('Adjust'!$E$228*E150+'Adjust'!$F$228*F150)+10*('Adjust'!$B$228*B150+'Adjust'!$C$228*C150+'Adjust'!$D$228*D150+'Adjust'!$G$228*G150)</f>
        <v>0</v>
      </c>
      <c r="I150" s="10"/>
    </row>
    <row r="151" spans="1:9">
      <c r="A151" s="11" t="s">
        <v>238</v>
      </c>
      <c r="B151" s="6">
        <f>B$57/IF(B$86="kVA",IF(F$57,F$57,1),IF(B$86="MPAN",IF(E$57,E$57,1),IF(H$57,H$57,1)))</f>
        <v>0</v>
      </c>
      <c r="C151" s="6">
        <f>C$57/IF(B$86="kVA",IF(F$57,F$57,1),IF(B$86="MPAN",IF(E$57,E$57,1),IF(H$57,H$57,1)))</f>
        <v>0</v>
      </c>
      <c r="D151" s="6">
        <f>D$57/IF(B$86="kVA",IF(F$57,F$57,1),IF(B$86="MPAN",IF(E$57,E$57,1),IF(H$57,H$57,1)))</f>
        <v>0</v>
      </c>
      <c r="E151" s="6">
        <f>E$57/IF(B$86="kVA",IF(F$57,F$57,1),IF(B$86="MPAN",IF(E$57,E$57,1),IF(H$57,H$57,1)))</f>
        <v>0</v>
      </c>
      <c r="F151" s="6">
        <f>F$57/IF(B$86="kVA",IF(F$57,F$57,1),IF(B$86="MPAN",IF(E$57,E$57,1),IF(H$57,H$57,1)))</f>
        <v>0</v>
      </c>
      <c r="G151" s="6">
        <f>G$57/IF(B$86="kVA",IF(F$57,F$57,1),IF(B$86="MPAN",IF(E$57,E$57,1),IF(H$57,H$57,1)))</f>
        <v>0</v>
      </c>
      <c r="H151" s="35">
        <f>0.01*'Input'!F$58*('Adjust'!$E$229*E151+'Adjust'!$F$229*F151)+10*('Adjust'!$B$229*B151+'Adjust'!$C$229*C151+'Adjust'!$D$229*D151+'Adjust'!$G$229*G151)</f>
        <v>0</v>
      </c>
      <c r="I151" s="10"/>
    </row>
    <row r="152" spans="1:9">
      <c r="A152" s="22" t="s">
        <v>175</v>
      </c>
      <c r="I152" s="10"/>
    </row>
    <row r="153" spans="1:9">
      <c r="A153" s="11" t="s">
        <v>175</v>
      </c>
      <c r="B153" s="6">
        <f>B$58/IF(B$87="kVA",IF(F$58,F$58,1),IF(B$87="MPAN",IF(E$58,E$58,1),IF(H$58,H$58,1)))</f>
        <v>0</v>
      </c>
      <c r="C153" s="6">
        <f>C$58/IF(B$87="kVA",IF(F$58,F$58,1),IF(B$87="MPAN",IF(E$58,E$58,1),IF(H$58,H$58,1)))</f>
        <v>0</v>
      </c>
      <c r="D153" s="6">
        <f>D$58/IF(B$87="kVA",IF(F$58,F$58,1),IF(B$87="MPAN",IF(E$58,E$58,1),IF(H$58,H$58,1)))</f>
        <v>0</v>
      </c>
      <c r="E153" s="6">
        <f>E$58/IF(B$87="kVA",IF(F$58,F$58,1),IF(B$87="MPAN",IF(E$58,E$58,1),IF(H$58,H$58,1)))</f>
        <v>0</v>
      </c>
      <c r="F153" s="6">
        <f>F$58/IF(B$87="kVA",IF(F$58,F$58,1),IF(B$87="MPAN",IF(E$58,E$58,1),IF(H$58,H$58,1)))</f>
        <v>0</v>
      </c>
      <c r="G153" s="6">
        <f>G$58/IF(B$87="kVA",IF(F$58,F$58,1),IF(B$87="MPAN",IF(E$58,E$58,1),IF(H$58,H$58,1)))</f>
        <v>0</v>
      </c>
      <c r="H153" s="35">
        <f>0.01*'Input'!F$58*('Adjust'!$E$231*E153+'Adjust'!$F$231*F153)+10*('Adjust'!$B$231*B153+'Adjust'!$C$231*C153+'Adjust'!$D$231*D153+'Adjust'!$G$231*G153)</f>
        <v>0</v>
      </c>
      <c r="I153" s="10"/>
    </row>
    <row r="154" spans="1:9">
      <c r="A154" s="11" t="s">
        <v>240</v>
      </c>
      <c r="B154" s="6">
        <f>B$58/IF(B$87="kVA",IF(F$58,F$58,1),IF(B$87="MPAN",IF(E$58,E$58,1),IF(H$58,H$58,1)))</f>
        <v>0</v>
      </c>
      <c r="C154" s="6">
        <f>C$58/IF(B$87="kVA",IF(F$58,F$58,1),IF(B$87="MPAN",IF(E$58,E$58,1),IF(H$58,H$58,1)))</f>
        <v>0</v>
      </c>
      <c r="D154" s="6">
        <f>D$58/IF(B$87="kVA",IF(F$58,F$58,1),IF(B$87="MPAN",IF(E$58,E$58,1),IF(H$58,H$58,1)))</f>
        <v>0</v>
      </c>
      <c r="E154" s="6">
        <f>E$58/IF(B$87="kVA",IF(F$58,F$58,1),IF(B$87="MPAN",IF(E$58,E$58,1),IF(H$58,H$58,1)))</f>
        <v>0</v>
      </c>
      <c r="F154" s="6">
        <f>F$58/IF(B$87="kVA",IF(F$58,F$58,1),IF(B$87="MPAN",IF(E$58,E$58,1),IF(H$58,H$58,1)))</f>
        <v>0</v>
      </c>
      <c r="G154" s="6">
        <f>G$58/IF(B$87="kVA",IF(F$58,F$58,1),IF(B$87="MPAN",IF(E$58,E$58,1),IF(H$58,H$58,1)))</f>
        <v>0</v>
      </c>
      <c r="H154" s="35">
        <f>0.01*'Input'!F$58*('Adjust'!$E$232*E154+'Adjust'!$F$232*F154)+10*('Adjust'!$B$232*B154+'Adjust'!$C$232*C154+'Adjust'!$D$232*D154+'Adjust'!$G$232*G154)</f>
        <v>0</v>
      </c>
      <c r="I154" s="10"/>
    </row>
    <row r="155" spans="1:9">
      <c r="A155" s="11" t="s">
        <v>241</v>
      </c>
      <c r="B155" s="6">
        <f>B$58/IF(B$87="kVA",IF(F$58,F$58,1),IF(B$87="MPAN",IF(E$58,E$58,1),IF(H$58,H$58,1)))</f>
        <v>0</v>
      </c>
      <c r="C155" s="6">
        <f>C$58/IF(B$87="kVA",IF(F$58,F$58,1),IF(B$87="MPAN",IF(E$58,E$58,1),IF(H$58,H$58,1)))</f>
        <v>0</v>
      </c>
      <c r="D155" s="6">
        <f>D$58/IF(B$87="kVA",IF(F$58,F$58,1),IF(B$87="MPAN",IF(E$58,E$58,1),IF(H$58,H$58,1)))</f>
        <v>0</v>
      </c>
      <c r="E155" s="6">
        <f>E$58/IF(B$87="kVA",IF(F$58,F$58,1),IF(B$87="MPAN",IF(E$58,E$58,1),IF(H$58,H$58,1)))</f>
        <v>0</v>
      </c>
      <c r="F155" s="6">
        <f>F$58/IF(B$87="kVA",IF(F$58,F$58,1),IF(B$87="MPAN",IF(E$58,E$58,1),IF(H$58,H$58,1)))</f>
        <v>0</v>
      </c>
      <c r="G155" s="6">
        <f>G$58/IF(B$87="kVA",IF(F$58,F$58,1),IF(B$87="MPAN",IF(E$58,E$58,1),IF(H$58,H$58,1)))</f>
        <v>0</v>
      </c>
      <c r="H155" s="35">
        <f>0.01*'Input'!F$58*('Adjust'!$E$233*E155+'Adjust'!$F$233*F155)+10*('Adjust'!$B$233*B155+'Adjust'!$C$233*C155+'Adjust'!$D$233*D155+'Adjust'!$G$233*G155)</f>
        <v>0</v>
      </c>
      <c r="I155" s="10"/>
    </row>
    <row r="156" spans="1:9">
      <c r="A156" s="22" t="s">
        <v>211</v>
      </c>
      <c r="I156" s="10"/>
    </row>
    <row r="157" spans="1:9">
      <c r="A157" s="11" t="s">
        <v>211</v>
      </c>
      <c r="B157" s="6">
        <f>B$59/IF(B$88="kVA",IF(F$59,F$59,1),IF(B$88="MPAN",IF(E$59,E$59,1),IF(H$59,H$59,1)))</f>
        <v>0</v>
      </c>
      <c r="C157" s="6">
        <f>C$59/IF(B$88="kVA",IF(F$59,F$59,1),IF(B$88="MPAN",IF(E$59,E$59,1),IF(H$59,H$59,1)))</f>
        <v>0</v>
      </c>
      <c r="D157" s="6">
        <f>D$59/IF(B$88="kVA",IF(F$59,F$59,1),IF(B$88="MPAN",IF(E$59,E$59,1),IF(H$59,H$59,1)))</f>
        <v>0</v>
      </c>
      <c r="E157" s="6">
        <f>E$59/IF(B$88="kVA",IF(F$59,F$59,1),IF(B$88="MPAN",IF(E$59,E$59,1),IF(H$59,H$59,1)))</f>
        <v>0</v>
      </c>
      <c r="F157" s="6">
        <f>F$59/IF(B$88="kVA",IF(F$59,F$59,1),IF(B$88="MPAN",IF(E$59,E$59,1),IF(H$59,H$59,1)))</f>
        <v>0</v>
      </c>
      <c r="G157" s="6">
        <f>G$59/IF(B$88="kVA",IF(F$59,F$59,1),IF(B$88="MPAN",IF(E$59,E$59,1),IF(H$59,H$59,1)))</f>
        <v>0</v>
      </c>
      <c r="H157" s="35">
        <f>0.01*'Input'!F$58*('Adjust'!$E$235*E157+'Adjust'!$F$235*F157)+10*('Adjust'!$B$235*B157+'Adjust'!$C$235*C157+'Adjust'!$D$235*D157+'Adjust'!$G$235*G157)</f>
        <v>0</v>
      </c>
      <c r="I157" s="10"/>
    </row>
    <row r="158" spans="1:9">
      <c r="A158" s="11" t="s">
        <v>243</v>
      </c>
      <c r="B158" s="6">
        <f>B$59/IF(B$88="kVA",IF(F$59,F$59,1),IF(B$88="MPAN",IF(E$59,E$59,1),IF(H$59,H$59,1)))</f>
        <v>0</v>
      </c>
      <c r="C158" s="6">
        <f>C$59/IF(B$88="kVA",IF(F$59,F$59,1),IF(B$88="MPAN",IF(E$59,E$59,1),IF(H$59,H$59,1)))</f>
        <v>0</v>
      </c>
      <c r="D158" s="6">
        <f>D$59/IF(B$88="kVA",IF(F$59,F$59,1),IF(B$88="MPAN",IF(E$59,E$59,1),IF(H$59,H$59,1)))</f>
        <v>0</v>
      </c>
      <c r="E158" s="6">
        <f>E$59/IF(B$88="kVA",IF(F$59,F$59,1),IF(B$88="MPAN",IF(E$59,E$59,1),IF(H$59,H$59,1)))</f>
        <v>0</v>
      </c>
      <c r="F158" s="6">
        <f>F$59/IF(B$88="kVA",IF(F$59,F$59,1),IF(B$88="MPAN",IF(E$59,E$59,1),IF(H$59,H$59,1)))</f>
        <v>0</v>
      </c>
      <c r="G158" s="6">
        <f>G$59/IF(B$88="kVA",IF(F$59,F$59,1),IF(B$88="MPAN",IF(E$59,E$59,1),IF(H$59,H$59,1)))</f>
        <v>0</v>
      </c>
      <c r="H158" s="35">
        <f>0.01*'Input'!F$58*('Adjust'!$E$236*E158+'Adjust'!$F$236*F158)+10*('Adjust'!$B$236*B158+'Adjust'!$C$236*C158+'Adjust'!$D$236*D158+'Adjust'!$G$236*G158)</f>
        <v>0</v>
      </c>
      <c r="I158" s="10"/>
    </row>
    <row r="159" spans="1:9">
      <c r="A159" s="11" t="s">
        <v>244</v>
      </c>
      <c r="B159" s="6">
        <f>B$59/IF(B$88="kVA",IF(F$59,F$59,1),IF(B$88="MPAN",IF(E$59,E$59,1),IF(H$59,H$59,1)))</f>
        <v>0</v>
      </c>
      <c r="C159" s="6">
        <f>C$59/IF(B$88="kVA",IF(F$59,F$59,1),IF(B$88="MPAN",IF(E$59,E$59,1),IF(H$59,H$59,1)))</f>
        <v>0</v>
      </c>
      <c r="D159" s="6">
        <f>D$59/IF(B$88="kVA",IF(F$59,F$59,1),IF(B$88="MPAN",IF(E$59,E$59,1),IF(H$59,H$59,1)))</f>
        <v>0</v>
      </c>
      <c r="E159" s="6">
        <f>E$59/IF(B$88="kVA",IF(F$59,F$59,1),IF(B$88="MPAN",IF(E$59,E$59,1),IF(H$59,H$59,1)))</f>
        <v>0</v>
      </c>
      <c r="F159" s="6">
        <f>F$59/IF(B$88="kVA",IF(F$59,F$59,1),IF(B$88="MPAN",IF(E$59,E$59,1),IF(H$59,H$59,1)))</f>
        <v>0</v>
      </c>
      <c r="G159" s="6">
        <f>G$59/IF(B$88="kVA",IF(F$59,F$59,1),IF(B$88="MPAN",IF(E$59,E$59,1),IF(H$59,H$59,1)))</f>
        <v>0</v>
      </c>
      <c r="H159" s="35">
        <f>0.01*'Input'!F$58*('Adjust'!$E$237*E159+'Adjust'!$F$237*F159)+10*('Adjust'!$B$237*B159+'Adjust'!$C$237*C159+'Adjust'!$D$237*D159+'Adjust'!$G$237*G159)</f>
        <v>0</v>
      </c>
      <c r="I159" s="10"/>
    </row>
    <row r="160" spans="1:9">
      <c r="A160" s="22" t="s">
        <v>176</v>
      </c>
      <c r="I160" s="10"/>
    </row>
    <row r="161" spans="1:9">
      <c r="A161" s="11" t="s">
        <v>176</v>
      </c>
      <c r="B161" s="6">
        <f>B$60/IF(B$89="kVA",IF(F$60,F$60,1),IF(B$89="MPAN",IF(E$60,E$60,1),IF(H$60,H$60,1)))</f>
        <v>0</v>
      </c>
      <c r="C161" s="6">
        <f>C$60/IF(B$89="kVA",IF(F$60,F$60,1),IF(B$89="MPAN",IF(E$60,E$60,1),IF(H$60,H$60,1)))</f>
        <v>0</v>
      </c>
      <c r="D161" s="6">
        <f>D$60/IF(B$89="kVA",IF(F$60,F$60,1),IF(B$89="MPAN",IF(E$60,E$60,1),IF(H$60,H$60,1)))</f>
        <v>0</v>
      </c>
      <c r="E161" s="6">
        <f>E$60/IF(B$89="kVA",IF(F$60,F$60,1),IF(B$89="MPAN",IF(E$60,E$60,1),IF(H$60,H$60,1)))</f>
        <v>0</v>
      </c>
      <c r="F161" s="6">
        <f>F$60/IF(B$89="kVA",IF(F$60,F$60,1),IF(B$89="MPAN",IF(E$60,E$60,1),IF(H$60,H$60,1)))</f>
        <v>0</v>
      </c>
      <c r="G161" s="6">
        <f>G$60/IF(B$89="kVA",IF(F$60,F$60,1),IF(B$89="MPAN",IF(E$60,E$60,1),IF(H$60,H$60,1)))</f>
        <v>0</v>
      </c>
      <c r="H161" s="35">
        <f>0.01*'Input'!F$58*('Adjust'!$E$239*E161+'Adjust'!$F$239*F161)+10*('Adjust'!$B$239*B161+'Adjust'!$C$239*C161+'Adjust'!$D$239*D161+'Adjust'!$G$239*G161)</f>
        <v>0</v>
      </c>
      <c r="I161" s="10"/>
    </row>
    <row r="162" spans="1:9">
      <c r="A162" s="11" t="s">
        <v>246</v>
      </c>
      <c r="B162" s="6">
        <f>B$60/IF(B$89="kVA",IF(F$60,F$60,1),IF(B$89="MPAN",IF(E$60,E$60,1),IF(H$60,H$60,1)))</f>
        <v>0</v>
      </c>
      <c r="C162" s="6">
        <f>C$60/IF(B$89="kVA",IF(F$60,F$60,1),IF(B$89="MPAN",IF(E$60,E$60,1),IF(H$60,H$60,1)))</f>
        <v>0</v>
      </c>
      <c r="D162" s="6">
        <f>D$60/IF(B$89="kVA",IF(F$60,F$60,1),IF(B$89="MPAN",IF(E$60,E$60,1),IF(H$60,H$60,1)))</f>
        <v>0</v>
      </c>
      <c r="E162" s="6">
        <f>E$60/IF(B$89="kVA",IF(F$60,F$60,1),IF(B$89="MPAN",IF(E$60,E$60,1),IF(H$60,H$60,1)))</f>
        <v>0</v>
      </c>
      <c r="F162" s="6">
        <f>F$60/IF(B$89="kVA",IF(F$60,F$60,1),IF(B$89="MPAN",IF(E$60,E$60,1),IF(H$60,H$60,1)))</f>
        <v>0</v>
      </c>
      <c r="G162" s="6">
        <f>G$60/IF(B$89="kVA",IF(F$60,F$60,1),IF(B$89="MPAN",IF(E$60,E$60,1),IF(H$60,H$60,1)))</f>
        <v>0</v>
      </c>
      <c r="H162" s="35">
        <f>0.01*'Input'!F$58*('Adjust'!$E$240*E162+'Adjust'!$F$240*F162)+10*('Adjust'!$B$240*B162+'Adjust'!$C$240*C162+'Adjust'!$D$240*D162+'Adjust'!$G$240*G162)</f>
        <v>0</v>
      </c>
      <c r="I162" s="10"/>
    </row>
    <row r="163" spans="1:9">
      <c r="A163" s="11" t="s">
        <v>247</v>
      </c>
      <c r="B163" s="6">
        <f>B$60/IF(B$89="kVA",IF(F$60,F$60,1),IF(B$89="MPAN",IF(E$60,E$60,1),IF(H$60,H$60,1)))</f>
        <v>0</v>
      </c>
      <c r="C163" s="6">
        <f>C$60/IF(B$89="kVA",IF(F$60,F$60,1),IF(B$89="MPAN",IF(E$60,E$60,1),IF(H$60,H$60,1)))</f>
        <v>0</v>
      </c>
      <c r="D163" s="6">
        <f>D$60/IF(B$89="kVA",IF(F$60,F$60,1),IF(B$89="MPAN",IF(E$60,E$60,1),IF(H$60,H$60,1)))</f>
        <v>0</v>
      </c>
      <c r="E163" s="6">
        <f>E$60/IF(B$89="kVA",IF(F$60,F$60,1),IF(B$89="MPAN",IF(E$60,E$60,1),IF(H$60,H$60,1)))</f>
        <v>0</v>
      </c>
      <c r="F163" s="6">
        <f>F$60/IF(B$89="kVA",IF(F$60,F$60,1),IF(B$89="MPAN",IF(E$60,E$60,1),IF(H$60,H$60,1)))</f>
        <v>0</v>
      </c>
      <c r="G163" s="6">
        <f>G$60/IF(B$89="kVA",IF(F$60,F$60,1),IF(B$89="MPAN",IF(E$60,E$60,1),IF(H$60,H$60,1)))</f>
        <v>0</v>
      </c>
      <c r="H163" s="35">
        <f>0.01*'Input'!F$58*('Adjust'!$E$241*E163+'Adjust'!$F$241*F163)+10*('Adjust'!$B$241*B163+'Adjust'!$C$241*C163+'Adjust'!$D$241*D163+'Adjust'!$G$241*G163)</f>
        <v>0</v>
      </c>
      <c r="I163" s="10"/>
    </row>
    <row r="164" spans="1:9">
      <c r="A164" s="22" t="s">
        <v>177</v>
      </c>
      <c r="I164" s="10"/>
    </row>
    <row r="165" spans="1:9">
      <c r="A165" s="11" t="s">
        <v>177</v>
      </c>
      <c r="B165" s="6">
        <f>B$61/IF(B$90="kVA",IF(F$61,F$61,1),IF(B$90="MPAN",IF(E$61,E$61,1),IF(H$61,H$61,1)))</f>
        <v>0</v>
      </c>
      <c r="C165" s="6">
        <f>C$61/IF(B$90="kVA",IF(F$61,F$61,1),IF(B$90="MPAN",IF(E$61,E$61,1),IF(H$61,H$61,1)))</f>
        <v>0</v>
      </c>
      <c r="D165" s="6">
        <f>D$61/IF(B$90="kVA",IF(F$61,F$61,1),IF(B$90="MPAN",IF(E$61,E$61,1),IF(H$61,H$61,1)))</f>
        <v>0</v>
      </c>
      <c r="E165" s="6">
        <f>E$61/IF(B$90="kVA",IF(F$61,F$61,1),IF(B$90="MPAN",IF(E$61,E$61,1),IF(H$61,H$61,1)))</f>
        <v>0</v>
      </c>
      <c r="F165" s="6">
        <f>F$61/IF(B$90="kVA",IF(F$61,F$61,1),IF(B$90="MPAN",IF(E$61,E$61,1),IF(H$61,H$61,1)))</f>
        <v>0</v>
      </c>
      <c r="G165" s="6">
        <f>G$61/IF(B$90="kVA",IF(F$61,F$61,1),IF(B$90="MPAN",IF(E$61,E$61,1),IF(H$61,H$61,1)))</f>
        <v>0</v>
      </c>
      <c r="H165" s="35">
        <f>0.01*'Input'!F$58*('Adjust'!$E$243*E165+'Adjust'!$F$243*F165)+10*('Adjust'!$B$243*B165+'Adjust'!$C$243*C165+'Adjust'!$D$243*D165+'Adjust'!$G$243*G165)</f>
        <v>0</v>
      </c>
      <c r="I165" s="10"/>
    </row>
    <row r="166" spans="1:9">
      <c r="A166" s="22" t="s">
        <v>191</v>
      </c>
      <c r="I166" s="10"/>
    </row>
    <row r="167" spans="1:9">
      <c r="A167" s="11" t="s">
        <v>191</v>
      </c>
      <c r="B167" s="6">
        <f>B$62/IF(B$91="kVA",IF(F$62,F$62,1),IF(B$91="MPAN",IF(E$62,E$62,1),IF(H$62,H$62,1)))</f>
        <v>0</v>
      </c>
      <c r="C167" s="6">
        <f>C$62/IF(B$91="kVA",IF(F$62,F$62,1),IF(B$91="MPAN",IF(E$62,E$62,1),IF(H$62,H$62,1)))</f>
        <v>0</v>
      </c>
      <c r="D167" s="6">
        <f>D$62/IF(B$91="kVA",IF(F$62,F$62,1),IF(B$91="MPAN",IF(E$62,E$62,1),IF(H$62,H$62,1)))</f>
        <v>0</v>
      </c>
      <c r="E167" s="6">
        <f>E$62/IF(B$91="kVA",IF(F$62,F$62,1),IF(B$91="MPAN",IF(E$62,E$62,1),IF(H$62,H$62,1)))</f>
        <v>0</v>
      </c>
      <c r="F167" s="6">
        <f>F$62/IF(B$91="kVA",IF(F$62,F$62,1),IF(B$91="MPAN",IF(E$62,E$62,1),IF(H$62,H$62,1)))</f>
        <v>0</v>
      </c>
      <c r="G167" s="6">
        <f>G$62/IF(B$91="kVA",IF(F$62,F$62,1),IF(B$91="MPAN",IF(E$62,E$62,1),IF(H$62,H$62,1)))</f>
        <v>0</v>
      </c>
      <c r="H167" s="35">
        <f>0.01*'Input'!F$58*('Adjust'!$E$245*E167+'Adjust'!$F$245*F167)+10*('Adjust'!$B$245*B167+'Adjust'!$C$245*C167+'Adjust'!$D$245*D167+'Adjust'!$G$245*G167)</f>
        <v>0</v>
      </c>
      <c r="I167" s="10"/>
    </row>
    <row r="168" spans="1:9">
      <c r="A168" s="22" t="s">
        <v>178</v>
      </c>
      <c r="I168" s="10"/>
    </row>
    <row r="169" spans="1:9">
      <c r="A169" s="11" t="s">
        <v>178</v>
      </c>
      <c r="B169" s="6">
        <f>B$63/IF(B$92="kVA",IF(F$63,F$63,1),IF(B$92="MPAN",IF(E$63,E$63,1),IF(H$63,H$63,1)))</f>
        <v>0</v>
      </c>
      <c r="C169" s="6">
        <f>C$63/IF(B$92="kVA",IF(F$63,F$63,1),IF(B$92="MPAN",IF(E$63,E$63,1),IF(H$63,H$63,1)))</f>
        <v>0</v>
      </c>
      <c r="D169" s="6">
        <f>D$63/IF(B$92="kVA",IF(F$63,F$63,1),IF(B$92="MPAN",IF(E$63,E$63,1),IF(H$63,H$63,1)))</f>
        <v>0</v>
      </c>
      <c r="E169" s="6">
        <f>E$63/IF(B$92="kVA",IF(F$63,F$63,1),IF(B$92="MPAN",IF(E$63,E$63,1),IF(H$63,H$63,1)))</f>
        <v>0</v>
      </c>
      <c r="F169" s="6">
        <f>F$63/IF(B$92="kVA",IF(F$63,F$63,1),IF(B$92="MPAN",IF(E$63,E$63,1),IF(H$63,H$63,1)))</f>
        <v>0</v>
      </c>
      <c r="G169" s="6">
        <f>G$63/IF(B$92="kVA",IF(F$63,F$63,1),IF(B$92="MPAN",IF(E$63,E$63,1),IF(H$63,H$63,1)))</f>
        <v>0</v>
      </c>
      <c r="H169" s="35">
        <f>0.01*'Input'!F$58*('Adjust'!$E$247*E169+'Adjust'!$F$247*F169)+10*('Adjust'!$B$247*B169+'Adjust'!$C$247*C169+'Adjust'!$D$247*D169+'Adjust'!$G$247*G169)</f>
        <v>0</v>
      </c>
      <c r="I169" s="10"/>
    </row>
    <row r="170" spans="1:9">
      <c r="A170" s="11" t="s">
        <v>251</v>
      </c>
      <c r="B170" s="6">
        <f>B$63/IF(B$92="kVA",IF(F$63,F$63,1),IF(B$92="MPAN",IF(E$63,E$63,1),IF(H$63,H$63,1)))</f>
        <v>0</v>
      </c>
      <c r="C170" s="6">
        <f>C$63/IF(B$92="kVA",IF(F$63,F$63,1),IF(B$92="MPAN",IF(E$63,E$63,1),IF(H$63,H$63,1)))</f>
        <v>0</v>
      </c>
      <c r="D170" s="6">
        <f>D$63/IF(B$92="kVA",IF(F$63,F$63,1),IF(B$92="MPAN",IF(E$63,E$63,1),IF(H$63,H$63,1)))</f>
        <v>0</v>
      </c>
      <c r="E170" s="6">
        <f>E$63/IF(B$92="kVA",IF(F$63,F$63,1),IF(B$92="MPAN",IF(E$63,E$63,1),IF(H$63,H$63,1)))</f>
        <v>0</v>
      </c>
      <c r="F170" s="6">
        <f>F$63/IF(B$92="kVA",IF(F$63,F$63,1),IF(B$92="MPAN",IF(E$63,E$63,1),IF(H$63,H$63,1)))</f>
        <v>0</v>
      </c>
      <c r="G170" s="6">
        <f>G$63/IF(B$92="kVA",IF(F$63,F$63,1),IF(B$92="MPAN",IF(E$63,E$63,1),IF(H$63,H$63,1)))</f>
        <v>0</v>
      </c>
      <c r="H170" s="35">
        <f>0.01*'Input'!F$58*('Adjust'!$E$248*E170+'Adjust'!$F$248*F170)+10*('Adjust'!$B$248*B170+'Adjust'!$C$248*C170+'Adjust'!$D$248*D170+'Adjust'!$G$248*G170)</f>
        <v>0</v>
      </c>
      <c r="I170" s="10"/>
    </row>
    <row r="171" spans="1:9">
      <c r="A171" s="11" t="s">
        <v>252</v>
      </c>
      <c r="B171" s="6">
        <f>B$63/IF(B$92="kVA",IF(F$63,F$63,1),IF(B$92="MPAN",IF(E$63,E$63,1),IF(H$63,H$63,1)))</f>
        <v>0</v>
      </c>
      <c r="C171" s="6">
        <f>C$63/IF(B$92="kVA",IF(F$63,F$63,1),IF(B$92="MPAN",IF(E$63,E$63,1),IF(H$63,H$63,1)))</f>
        <v>0</v>
      </c>
      <c r="D171" s="6">
        <f>D$63/IF(B$92="kVA",IF(F$63,F$63,1),IF(B$92="MPAN",IF(E$63,E$63,1),IF(H$63,H$63,1)))</f>
        <v>0</v>
      </c>
      <c r="E171" s="6">
        <f>E$63/IF(B$92="kVA",IF(F$63,F$63,1),IF(B$92="MPAN",IF(E$63,E$63,1),IF(H$63,H$63,1)))</f>
        <v>0</v>
      </c>
      <c r="F171" s="6">
        <f>F$63/IF(B$92="kVA",IF(F$63,F$63,1),IF(B$92="MPAN",IF(E$63,E$63,1),IF(H$63,H$63,1)))</f>
        <v>0</v>
      </c>
      <c r="G171" s="6">
        <f>G$63/IF(B$92="kVA",IF(F$63,F$63,1),IF(B$92="MPAN",IF(E$63,E$63,1),IF(H$63,H$63,1)))</f>
        <v>0</v>
      </c>
      <c r="H171" s="35">
        <f>0.01*'Input'!F$58*('Adjust'!$E$249*E171+'Adjust'!$F$249*F171)+10*('Adjust'!$B$249*B171+'Adjust'!$C$249*C171+'Adjust'!$D$249*D171+'Adjust'!$G$249*G171)</f>
        <v>0</v>
      </c>
      <c r="I171" s="10"/>
    </row>
    <row r="172" spans="1:9">
      <c r="A172" s="22" t="s">
        <v>179</v>
      </c>
      <c r="I172" s="10"/>
    </row>
    <row r="173" spans="1:9">
      <c r="A173" s="11" t="s">
        <v>179</v>
      </c>
      <c r="B173" s="6">
        <f>B$64/IF(B$93="kVA",IF(F$64,F$64,1),IF(B$93="MPAN",IF(E$64,E$64,1),IF(H$64,H$64,1)))</f>
        <v>0</v>
      </c>
      <c r="C173" s="6">
        <f>C$64/IF(B$93="kVA",IF(F$64,F$64,1),IF(B$93="MPAN",IF(E$64,E$64,1),IF(H$64,H$64,1)))</f>
        <v>0</v>
      </c>
      <c r="D173" s="6">
        <f>D$64/IF(B$93="kVA",IF(F$64,F$64,1),IF(B$93="MPAN",IF(E$64,E$64,1),IF(H$64,H$64,1)))</f>
        <v>0</v>
      </c>
      <c r="E173" s="6">
        <f>E$64/IF(B$93="kVA",IF(F$64,F$64,1),IF(B$93="MPAN",IF(E$64,E$64,1),IF(H$64,H$64,1)))</f>
        <v>0</v>
      </c>
      <c r="F173" s="6">
        <f>F$64/IF(B$93="kVA",IF(F$64,F$64,1),IF(B$93="MPAN",IF(E$64,E$64,1),IF(H$64,H$64,1)))</f>
        <v>0</v>
      </c>
      <c r="G173" s="6">
        <f>G$64/IF(B$93="kVA",IF(F$64,F$64,1),IF(B$93="MPAN",IF(E$64,E$64,1),IF(H$64,H$64,1)))</f>
        <v>0</v>
      </c>
      <c r="H173" s="35">
        <f>0.01*'Input'!F$58*('Adjust'!$E$251*E173+'Adjust'!$F$251*F173)+10*('Adjust'!$B$251*B173+'Adjust'!$C$251*C173+'Adjust'!$D$251*D173+'Adjust'!$G$251*G173)</f>
        <v>0</v>
      </c>
      <c r="I173" s="10"/>
    </row>
    <row r="174" spans="1:9">
      <c r="A174" s="11" t="s">
        <v>254</v>
      </c>
      <c r="B174" s="6">
        <f>B$64/IF(B$93="kVA",IF(F$64,F$64,1),IF(B$93="MPAN",IF(E$64,E$64,1),IF(H$64,H$64,1)))</f>
        <v>0</v>
      </c>
      <c r="C174" s="6">
        <f>C$64/IF(B$93="kVA",IF(F$64,F$64,1),IF(B$93="MPAN",IF(E$64,E$64,1),IF(H$64,H$64,1)))</f>
        <v>0</v>
      </c>
      <c r="D174" s="6">
        <f>D$64/IF(B$93="kVA",IF(F$64,F$64,1),IF(B$93="MPAN",IF(E$64,E$64,1),IF(H$64,H$64,1)))</f>
        <v>0</v>
      </c>
      <c r="E174" s="6">
        <f>E$64/IF(B$93="kVA",IF(F$64,F$64,1),IF(B$93="MPAN",IF(E$64,E$64,1),IF(H$64,H$64,1)))</f>
        <v>0</v>
      </c>
      <c r="F174" s="6">
        <f>F$64/IF(B$93="kVA",IF(F$64,F$64,1),IF(B$93="MPAN",IF(E$64,E$64,1),IF(H$64,H$64,1)))</f>
        <v>0</v>
      </c>
      <c r="G174" s="6">
        <f>G$64/IF(B$93="kVA",IF(F$64,F$64,1),IF(B$93="MPAN",IF(E$64,E$64,1),IF(H$64,H$64,1)))</f>
        <v>0</v>
      </c>
      <c r="H174" s="35">
        <f>0.01*'Input'!F$58*('Adjust'!$E$252*E174+'Adjust'!$F$252*F174)+10*('Adjust'!$B$252*B174+'Adjust'!$C$252*C174+'Adjust'!$D$252*D174+'Adjust'!$G$252*G174)</f>
        <v>0</v>
      </c>
      <c r="I174" s="10"/>
    </row>
    <row r="175" spans="1:9">
      <c r="A175" s="22" t="s">
        <v>192</v>
      </c>
      <c r="I175" s="10"/>
    </row>
    <row r="176" spans="1:9">
      <c r="A176" s="11" t="s">
        <v>192</v>
      </c>
      <c r="B176" s="6">
        <f>B$65/IF(B$94="kVA",IF(F$65,F$65,1),IF(B$94="MPAN",IF(E$65,E$65,1),IF(H$65,H$65,1)))</f>
        <v>0</v>
      </c>
      <c r="C176" s="6">
        <f>C$65/IF(B$94="kVA",IF(F$65,F$65,1),IF(B$94="MPAN",IF(E$65,E$65,1),IF(H$65,H$65,1)))</f>
        <v>0</v>
      </c>
      <c r="D176" s="6">
        <f>D$65/IF(B$94="kVA",IF(F$65,F$65,1),IF(B$94="MPAN",IF(E$65,E$65,1),IF(H$65,H$65,1)))</f>
        <v>0</v>
      </c>
      <c r="E176" s="6">
        <f>E$65/IF(B$94="kVA",IF(F$65,F$65,1),IF(B$94="MPAN",IF(E$65,E$65,1),IF(H$65,H$65,1)))</f>
        <v>0</v>
      </c>
      <c r="F176" s="6">
        <f>F$65/IF(B$94="kVA",IF(F$65,F$65,1),IF(B$94="MPAN",IF(E$65,E$65,1),IF(H$65,H$65,1)))</f>
        <v>0</v>
      </c>
      <c r="G176" s="6">
        <f>G$65/IF(B$94="kVA",IF(F$65,F$65,1),IF(B$94="MPAN",IF(E$65,E$65,1),IF(H$65,H$65,1)))</f>
        <v>0</v>
      </c>
      <c r="H176" s="35">
        <f>0.01*'Input'!F$58*('Adjust'!$E$254*E176+'Adjust'!$F$254*F176)+10*('Adjust'!$B$254*B176+'Adjust'!$C$254*C176+'Adjust'!$D$254*D176+'Adjust'!$G$254*G176)</f>
        <v>0</v>
      </c>
      <c r="I176" s="10"/>
    </row>
    <row r="177" spans="1:9">
      <c r="A177" s="11" t="s">
        <v>256</v>
      </c>
      <c r="B177" s="6">
        <f>B$65/IF(B$94="kVA",IF(F$65,F$65,1),IF(B$94="MPAN",IF(E$65,E$65,1),IF(H$65,H$65,1)))</f>
        <v>0</v>
      </c>
      <c r="C177" s="6">
        <f>C$65/IF(B$94="kVA",IF(F$65,F$65,1),IF(B$94="MPAN",IF(E$65,E$65,1),IF(H$65,H$65,1)))</f>
        <v>0</v>
      </c>
      <c r="D177" s="6">
        <f>D$65/IF(B$94="kVA",IF(F$65,F$65,1),IF(B$94="MPAN",IF(E$65,E$65,1),IF(H$65,H$65,1)))</f>
        <v>0</v>
      </c>
      <c r="E177" s="6">
        <f>E$65/IF(B$94="kVA",IF(F$65,F$65,1),IF(B$94="MPAN",IF(E$65,E$65,1),IF(H$65,H$65,1)))</f>
        <v>0</v>
      </c>
      <c r="F177" s="6">
        <f>F$65/IF(B$94="kVA",IF(F$65,F$65,1),IF(B$94="MPAN",IF(E$65,E$65,1),IF(H$65,H$65,1)))</f>
        <v>0</v>
      </c>
      <c r="G177" s="6">
        <f>G$65/IF(B$94="kVA",IF(F$65,F$65,1),IF(B$94="MPAN",IF(E$65,E$65,1),IF(H$65,H$65,1)))</f>
        <v>0</v>
      </c>
      <c r="H177" s="35">
        <f>0.01*'Input'!F$58*('Adjust'!$E$255*E177+'Adjust'!$F$255*F177)+10*('Adjust'!$B$255*B177+'Adjust'!$C$255*C177+'Adjust'!$D$255*D177+'Adjust'!$G$255*G177)</f>
        <v>0</v>
      </c>
      <c r="I177" s="10"/>
    </row>
    <row r="178" spans="1:9">
      <c r="A178" s="22" t="s">
        <v>212</v>
      </c>
      <c r="I178" s="10"/>
    </row>
    <row r="179" spans="1:9">
      <c r="A179" s="11" t="s">
        <v>212</v>
      </c>
      <c r="B179" s="6">
        <f>B$66/IF(B$95="kVA",IF(F$66,F$66,1),IF(B$95="MPAN",IF(E$66,E$66,1),IF(H$66,H$66,1)))</f>
        <v>0</v>
      </c>
      <c r="C179" s="6">
        <f>C$66/IF(B$95="kVA",IF(F$66,F$66,1),IF(B$95="MPAN",IF(E$66,E$66,1),IF(H$66,H$66,1)))</f>
        <v>0</v>
      </c>
      <c r="D179" s="6">
        <f>D$66/IF(B$95="kVA",IF(F$66,F$66,1),IF(B$95="MPAN",IF(E$66,E$66,1),IF(H$66,H$66,1)))</f>
        <v>0</v>
      </c>
      <c r="E179" s="6">
        <f>E$66/IF(B$95="kVA",IF(F$66,F$66,1),IF(B$95="MPAN",IF(E$66,E$66,1),IF(H$66,H$66,1)))</f>
        <v>0</v>
      </c>
      <c r="F179" s="6">
        <f>F$66/IF(B$95="kVA",IF(F$66,F$66,1),IF(B$95="MPAN",IF(E$66,E$66,1),IF(H$66,H$66,1)))</f>
        <v>0</v>
      </c>
      <c r="G179" s="6">
        <f>G$66/IF(B$95="kVA",IF(F$66,F$66,1),IF(B$95="MPAN",IF(E$66,E$66,1),IF(H$66,H$66,1)))</f>
        <v>0</v>
      </c>
      <c r="H179" s="35">
        <f>0.01*'Input'!F$58*('Adjust'!$E$257*E179+'Adjust'!$F$257*F179)+10*('Adjust'!$B$257*B179+'Adjust'!$C$257*C179+'Adjust'!$D$257*D179+'Adjust'!$G$257*G179)</f>
        <v>0</v>
      </c>
      <c r="I179" s="10"/>
    </row>
    <row r="180" spans="1:9">
      <c r="A180" s="11" t="s">
        <v>258</v>
      </c>
      <c r="B180" s="6">
        <f>B$66/IF(B$95="kVA",IF(F$66,F$66,1),IF(B$95="MPAN",IF(E$66,E$66,1),IF(H$66,H$66,1)))</f>
        <v>0</v>
      </c>
      <c r="C180" s="6">
        <f>C$66/IF(B$95="kVA",IF(F$66,F$66,1),IF(B$95="MPAN",IF(E$66,E$66,1),IF(H$66,H$66,1)))</f>
        <v>0</v>
      </c>
      <c r="D180" s="6">
        <f>D$66/IF(B$95="kVA",IF(F$66,F$66,1),IF(B$95="MPAN",IF(E$66,E$66,1),IF(H$66,H$66,1)))</f>
        <v>0</v>
      </c>
      <c r="E180" s="6">
        <f>E$66/IF(B$95="kVA",IF(F$66,F$66,1),IF(B$95="MPAN",IF(E$66,E$66,1),IF(H$66,H$66,1)))</f>
        <v>0</v>
      </c>
      <c r="F180" s="6">
        <f>F$66/IF(B$95="kVA",IF(F$66,F$66,1),IF(B$95="MPAN",IF(E$66,E$66,1),IF(H$66,H$66,1)))</f>
        <v>0</v>
      </c>
      <c r="G180" s="6">
        <f>G$66/IF(B$95="kVA",IF(F$66,F$66,1),IF(B$95="MPAN",IF(E$66,E$66,1),IF(H$66,H$66,1)))</f>
        <v>0</v>
      </c>
      <c r="H180" s="35">
        <f>0.01*'Input'!F$58*('Adjust'!$E$258*E180+'Adjust'!$F$258*F180)+10*('Adjust'!$B$258*B180+'Adjust'!$C$258*C180+'Adjust'!$D$258*D180+'Adjust'!$G$258*G180)</f>
        <v>0</v>
      </c>
      <c r="I180" s="10"/>
    </row>
    <row r="181" spans="1:9">
      <c r="A181" s="11" t="s">
        <v>259</v>
      </c>
      <c r="B181" s="6">
        <f>B$66/IF(B$95="kVA",IF(F$66,F$66,1),IF(B$95="MPAN",IF(E$66,E$66,1),IF(H$66,H$66,1)))</f>
        <v>0</v>
      </c>
      <c r="C181" s="6">
        <f>C$66/IF(B$95="kVA",IF(F$66,F$66,1),IF(B$95="MPAN",IF(E$66,E$66,1),IF(H$66,H$66,1)))</f>
        <v>0</v>
      </c>
      <c r="D181" s="6">
        <f>D$66/IF(B$95="kVA",IF(F$66,F$66,1),IF(B$95="MPAN",IF(E$66,E$66,1),IF(H$66,H$66,1)))</f>
        <v>0</v>
      </c>
      <c r="E181" s="6">
        <f>E$66/IF(B$95="kVA",IF(F$66,F$66,1),IF(B$95="MPAN",IF(E$66,E$66,1),IF(H$66,H$66,1)))</f>
        <v>0</v>
      </c>
      <c r="F181" s="6">
        <f>F$66/IF(B$95="kVA",IF(F$66,F$66,1),IF(B$95="MPAN",IF(E$66,E$66,1),IF(H$66,H$66,1)))</f>
        <v>0</v>
      </c>
      <c r="G181" s="6">
        <f>G$66/IF(B$95="kVA",IF(F$66,F$66,1),IF(B$95="MPAN",IF(E$66,E$66,1),IF(H$66,H$66,1)))</f>
        <v>0</v>
      </c>
      <c r="H181" s="35">
        <f>0.01*'Input'!F$58*('Adjust'!$E$259*E181+'Adjust'!$F$259*F181)+10*('Adjust'!$B$259*B181+'Adjust'!$C$259*C181+'Adjust'!$D$259*D181+'Adjust'!$G$259*G181)</f>
        <v>0</v>
      </c>
      <c r="I181" s="10"/>
    </row>
    <row r="182" spans="1:9">
      <c r="A182" s="22" t="s">
        <v>213</v>
      </c>
      <c r="I182" s="10"/>
    </row>
    <row r="183" spans="1:9">
      <c r="A183" s="11" t="s">
        <v>213</v>
      </c>
      <c r="B183" s="6">
        <f>B$67/IF(B$96="kVA",IF(F$67,F$67,1),IF(B$96="MPAN",IF(E$67,E$67,1),IF(H$67,H$67,1)))</f>
        <v>0</v>
      </c>
      <c r="C183" s="6">
        <f>C$67/IF(B$96="kVA",IF(F$67,F$67,1),IF(B$96="MPAN",IF(E$67,E$67,1),IF(H$67,H$67,1)))</f>
        <v>0</v>
      </c>
      <c r="D183" s="6">
        <f>D$67/IF(B$96="kVA",IF(F$67,F$67,1),IF(B$96="MPAN",IF(E$67,E$67,1),IF(H$67,H$67,1)))</f>
        <v>0</v>
      </c>
      <c r="E183" s="6">
        <f>E$67/IF(B$96="kVA",IF(F$67,F$67,1),IF(B$96="MPAN",IF(E$67,E$67,1),IF(H$67,H$67,1)))</f>
        <v>0</v>
      </c>
      <c r="F183" s="6">
        <f>F$67/IF(B$96="kVA",IF(F$67,F$67,1),IF(B$96="MPAN",IF(E$67,E$67,1),IF(H$67,H$67,1)))</f>
        <v>0</v>
      </c>
      <c r="G183" s="6">
        <f>G$67/IF(B$96="kVA",IF(F$67,F$67,1),IF(B$96="MPAN",IF(E$67,E$67,1),IF(H$67,H$67,1)))</f>
        <v>0</v>
      </c>
      <c r="H183" s="35">
        <f>0.01*'Input'!F$58*('Adjust'!$E$261*E183+'Adjust'!$F$261*F183)+10*('Adjust'!$B$261*B183+'Adjust'!$C$261*C183+'Adjust'!$D$261*D183+'Adjust'!$G$261*G183)</f>
        <v>0</v>
      </c>
      <c r="I183" s="10"/>
    </row>
    <row r="184" spans="1:9">
      <c r="A184" s="11" t="s">
        <v>261</v>
      </c>
      <c r="B184" s="6">
        <f>B$67/IF(B$96="kVA",IF(F$67,F$67,1),IF(B$96="MPAN",IF(E$67,E$67,1),IF(H$67,H$67,1)))</f>
        <v>0</v>
      </c>
      <c r="C184" s="6">
        <f>C$67/IF(B$96="kVA",IF(F$67,F$67,1),IF(B$96="MPAN",IF(E$67,E$67,1),IF(H$67,H$67,1)))</f>
        <v>0</v>
      </c>
      <c r="D184" s="6">
        <f>D$67/IF(B$96="kVA",IF(F$67,F$67,1),IF(B$96="MPAN",IF(E$67,E$67,1),IF(H$67,H$67,1)))</f>
        <v>0</v>
      </c>
      <c r="E184" s="6">
        <f>E$67/IF(B$96="kVA",IF(F$67,F$67,1),IF(B$96="MPAN",IF(E$67,E$67,1),IF(H$67,H$67,1)))</f>
        <v>0</v>
      </c>
      <c r="F184" s="6">
        <f>F$67/IF(B$96="kVA",IF(F$67,F$67,1),IF(B$96="MPAN",IF(E$67,E$67,1),IF(H$67,H$67,1)))</f>
        <v>0</v>
      </c>
      <c r="G184" s="6">
        <f>G$67/IF(B$96="kVA",IF(F$67,F$67,1),IF(B$96="MPAN",IF(E$67,E$67,1),IF(H$67,H$67,1)))</f>
        <v>0</v>
      </c>
      <c r="H184" s="35">
        <f>0.01*'Input'!F$58*('Adjust'!$E$262*E184+'Adjust'!$F$262*F184)+10*('Adjust'!$B$262*B184+'Adjust'!$C$262*C184+'Adjust'!$D$262*D184+'Adjust'!$G$262*G184)</f>
        <v>0</v>
      </c>
      <c r="I184" s="10"/>
    </row>
    <row r="185" spans="1:9">
      <c r="A185" s="11" t="s">
        <v>262</v>
      </c>
      <c r="B185" s="6">
        <f>B$67/IF(B$96="kVA",IF(F$67,F$67,1),IF(B$96="MPAN",IF(E$67,E$67,1),IF(H$67,H$67,1)))</f>
        <v>0</v>
      </c>
      <c r="C185" s="6">
        <f>C$67/IF(B$96="kVA",IF(F$67,F$67,1),IF(B$96="MPAN",IF(E$67,E$67,1),IF(H$67,H$67,1)))</f>
        <v>0</v>
      </c>
      <c r="D185" s="6">
        <f>D$67/IF(B$96="kVA",IF(F$67,F$67,1),IF(B$96="MPAN",IF(E$67,E$67,1),IF(H$67,H$67,1)))</f>
        <v>0</v>
      </c>
      <c r="E185" s="6">
        <f>E$67/IF(B$96="kVA",IF(F$67,F$67,1),IF(B$96="MPAN",IF(E$67,E$67,1),IF(H$67,H$67,1)))</f>
        <v>0</v>
      </c>
      <c r="F185" s="6">
        <f>F$67/IF(B$96="kVA",IF(F$67,F$67,1),IF(B$96="MPAN",IF(E$67,E$67,1),IF(H$67,H$67,1)))</f>
        <v>0</v>
      </c>
      <c r="G185" s="6">
        <f>G$67/IF(B$96="kVA",IF(F$67,F$67,1),IF(B$96="MPAN",IF(E$67,E$67,1),IF(H$67,H$67,1)))</f>
        <v>0</v>
      </c>
      <c r="H185" s="35">
        <f>0.01*'Input'!F$58*('Adjust'!$E$263*E185+'Adjust'!$F$263*F185)+10*('Adjust'!$B$263*B185+'Adjust'!$C$263*C185+'Adjust'!$D$263*D185+'Adjust'!$G$263*G185)</f>
        <v>0</v>
      </c>
      <c r="I185" s="10"/>
    </row>
    <row r="186" spans="1:9">
      <c r="A186" s="22" t="s">
        <v>214</v>
      </c>
      <c r="I186" s="10"/>
    </row>
    <row r="187" spans="1:9">
      <c r="A187" s="11" t="s">
        <v>214</v>
      </c>
      <c r="B187" s="6">
        <f>B$68/IF(B$97="kVA",IF(F$68,F$68,1),IF(B$97="MPAN",IF(E$68,E$68,1),IF(H$68,H$68,1)))</f>
        <v>0</v>
      </c>
      <c r="C187" s="6">
        <f>C$68/IF(B$97="kVA",IF(F$68,F$68,1),IF(B$97="MPAN",IF(E$68,E$68,1),IF(H$68,H$68,1)))</f>
        <v>0</v>
      </c>
      <c r="D187" s="6">
        <f>D$68/IF(B$97="kVA",IF(F$68,F$68,1),IF(B$97="MPAN",IF(E$68,E$68,1),IF(H$68,H$68,1)))</f>
        <v>0</v>
      </c>
      <c r="E187" s="6">
        <f>E$68/IF(B$97="kVA",IF(F$68,F$68,1),IF(B$97="MPAN",IF(E$68,E$68,1),IF(H$68,H$68,1)))</f>
        <v>0</v>
      </c>
      <c r="F187" s="6">
        <f>F$68/IF(B$97="kVA",IF(F$68,F$68,1),IF(B$97="MPAN",IF(E$68,E$68,1),IF(H$68,H$68,1)))</f>
        <v>0</v>
      </c>
      <c r="G187" s="6">
        <f>G$68/IF(B$97="kVA",IF(F$68,F$68,1),IF(B$97="MPAN",IF(E$68,E$68,1),IF(H$68,H$68,1)))</f>
        <v>0</v>
      </c>
      <c r="H187" s="35">
        <f>0.01*'Input'!F$58*('Adjust'!$E$265*E187+'Adjust'!$F$265*F187)+10*('Adjust'!$B$265*B187+'Adjust'!$C$265*C187+'Adjust'!$D$265*D187+'Adjust'!$G$265*G187)</f>
        <v>0</v>
      </c>
      <c r="I187" s="10"/>
    </row>
    <row r="188" spans="1:9">
      <c r="A188" s="11" t="s">
        <v>264</v>
      </c>
      <c r="B188" s="6">
        <f>B$68/IF(B$97="kVA",IF(F$68,F$68,1),IF(B$97="MPAN",IF(E$68,E$68,1),IF(H$68,H$68,1)))</f>
        <v>0</v>
      </c>
      <c r="C188" s="6">
        <f>C$68/IF(B$97="kVA",IF(F$68,F$68,1),IF(B$97="MPAN",IF(E$68,E$68,1),IF(H$68,H$68,1)))</f>
        <v>0</v>
      </c>
      <c r="D188" s="6">
        <f>D$68/IF(B$97="kVA",IF(F$68,F$68,1),IF(B$97="MPAN",IF(E$68,E$68,1),IF(H$68,H$68,1)))</f>
        <v>0</v>
      </c>
      <c r="E188" s="6">
        <f>E$68/IF(B$97="kVA",IF(F$68,F$68,1),IF(B$97="MPAN",IF(E$68,E$68,1),IF(H$68,H$68,1)))</f>
        <v>0</v>
      </c>
      <c r="F188" s="6">
        <f>F$68/IF(B$97="kVA",IF(F$68,F$68,1),IF(B$97="MPAN",IF(E$68,E$68,1),IF(H$68,H$68,1)))</f>
        <v>0</v>
      </c>
      <c r="G188" s="6">
        <f>G$68/IF(B$97="kVA",IF(F$68,F$68,1),IF(B$97="MPAN",IF(E$68,E$68,1),IF(H$68,H$68,1)))</f>
        <v>0</v>
      </c>
      <c r="H188" s="35">
        <f>0.01*'Input'!F$58*('Adjust'!$E$266*E188+'Adjust'!$F$266*F188)+10*('Adjust'!$B$266*B188+'Adjust'!$C$266*C188+'Adjust'!$D$266*D188+'Adjust'!$G$266*G188)</f>
        <v>0</v>
      </c>
      <c r="I188" s="10"/>
    </row>
    <row r="189" spans="1:9">
      <c r="A189" s="11" t="s">
        <v>265</v>
      </c>
      <c r="B189" s="6">
        <f>B$68/IF(B$97="kVA",IF(F$68,F$68,1),IF(B$97="MPAN",IF(E$68,E$68,1),IF(H$68,H$68,1)))</f>
        <v>0</v>
      </c>
      <c r="C189" s="6">
        <f>C$68/IF(B$97="kVA",IF(F$68,F$68,1),IF(B$97="MPAN",IF(E$68,E$68,1),IF(H$68,H$68,1)))</f>
        <v>0</v>
      </c>
      <c r="D189" s="6">
        <f>D$68/IF(B$97="kVA",IF(F$68,F$68,1),IF(B$97="MPAN",IF(E$68,E$68,1),IF(H$68,H$68,1)))</f>
        <v>0</v>
      </c>
      <c r="E189" s="6">
        <f>E$68/IF(B$97="kVA",IF(F$68,F$68,1),IF(B$97="MPAN",IF(E$68,E$68,1),IF(H$68,H$68,1)))</f>
        <v>0</v>
      </c>
      <c r="F189" s="6">
        <f>F$68/IF(B$97="kVA",IF(F$68,F$68,1),IF(B$97="MPAN",IF(E$68,E$68,1),IF(H$68,H$68,1)))</f>
        <v>0</v>
      </c>
      <c r="G189" s="6">
        <f>G$68/IF(B$97="kVA",IF(F$68,F$68,1),IF(B$97="MPAN",IF(E$68,E$68,1),IF(H$68,H$68,1)))</f>
        <v>0</v>
      </c>
      <c r="H189" s="35">
        <f>0.01*'Input'!F$58*('Adjust'!$E$267*E189+'Adjust'!$F$267*F189)+10*('Adjust'!$B$267*B189+'Adjust'!$C$267*C189+'Adjust'!$D$267*D189+'Adjust'!$G$267*G189)</f>
        <v>0</v>
      </c>
      <c r="I189" s="10"/>
    </row>
    <row r="190" spans="1:9">
      <c r="A190" s="22" t="s">
        <v>215</v>
      </c>
      <c r="I190" s="10"/>
    </row>
    <row r="191" spans="1:9">
      <c r="A191" s="11" t="s">
        <v>215</v>
      </c>
      <c r="B191" s="6">
        <f>B$69/IF(B$98="kVA",IF(F$69,F$69,1),IF(B$98="MPAN",IF(E$69,E$69,1),IF(H$69,H$69,1)))</f>
        <v>0</v>
      </c>
      <c r="C191" s="6">
        <f>C$69/IF(B$98="kVA",IF(F$69,F$69,1),IF(B$98="MPAN",IF(E$69,E$69,1),IF(H$69,H$69,1)))</f>
        <v>0</v>
      </c>
      <c r="D191" s="6">
        <f>D$69/IF(B$98="kVA",IF(F$69,F$69,1),IF(B$98="MPAN",IF(E$69,E$69,1),IF(H$69,H$69,1)))</f>
        <v>0</v>
      </c>
      <c r="E191" s="6">
        <f>E$69/IF(B$98="kVA",IF(F$69,F$69,1),IF(B$98="MPAN",IF(E$69,E$69,1),IF(H$69,H$69,1)))</f>
        <v>0</v>
      </c>
      <c r="F191" s="6">
        <f>F$69/IF(B$98="kVA",IF(F$69,F$69,1),IF(B$98="MPAN",IF(E$69,E$69,1),IF(H$69,H$69,1)))</f>
        <v>0</v>
      </c>
      <c r="G191" s="6">
        <f>G$69/IF(B$98="kVA",IF(F$69,F$69,1),IF(B$98="MPAN",IF(E$69,E$69,1),IF(H$69,H$69,1)))</f>
        <v>0</v>
      </c>
      <c r="H191" s="35">
        <f>0.01*'Input'!F$58*('Adjust'!$E$269*E191+'Adjust'!$F$269*F191)+10*('Adjust'!$B$269*B191+'Adjust'!$C$269*C191+'Adjust'!$D$269*D191+'Adjust'!$G$269*G191)</f>
        <v>0</v>
      </c>
      <c r="I191" s="10"/>
    </row>
    <row r="192" spans="1:9">
      <c r="A192" s="11" t="s">
        <v>267</v>
      </c>
      <c r="B192" s="6">
        <f>B$69/IF(B$98="kVA",IF(F$69,F$69,1),IF(B$98="MPAN",IF(E$69,E$69,1),IF(H$69,H$69,1)))</f>
        <v>0</v>
      </c>
      <c r="C192" s="6">
        <f>C$69/IF(B$98="kVA",IF(F$69,F$69,1),IF(B$98="MPAN",IF(E$69,E$69,1),IF(H$69,H$69,1)))</f>
        <v>0</v>
      </c>
      <c r="D192" s="6">
        <f>D$69/IF(B$98="kVA",IF(F$69,F$69,1),IF(B$98="MPAN",IF(E$69,E$69,1),IF(H$69,H$69,1)))</f>
        <v>0</v>
      </c>
      <c r="E192" s="6">
        <f>E$69/IF(B$98="kVA",IF(F$69,F$69,1),IF(B$98="MPAN",IF(E$69,E$69,1),IF(H$69,H$69,1)))</f>
        <v>0</v>
      </c>
      <c r="F192" s="6">
        <f>F$69/IF(B$98="kVA",IF(F$69,F$69,1),IF(B$98="MPAN",IF(E$69,E$69,1),IF(H$69,H$69,1)))</f>
        <v>0</v>
      </c>
      <c r="G192" s="6">
        <f>G$69/IF(B$98="kVA",IF(F$69,F$69,1),IF(B$98="MPAN",IF(E$69,E$69,1),IF(H$69,H$69,1)))</f>
        <v>0</v>
      </c>
      <c r="H192" s="35">
        <f>0.01*'Input'!F$58*('Adjust'!$E$270*E192+'Adjust'!$F$270*F192)+10*('Adjust'!$B$270*B192+'Adjust'!$C$270*C192+'Adjust'!$D$270*D192+'Adjust'!$G$270*G192)</f>
        <v>0</v>
      </c>
      <c r="I192" s="10"/>
    </row>
    <row r="193" spans="1:9">
      <c r="A193" s="11" t="s">
        <v>268</v>
      </c>
      <c r="B193" s="6">
        <f>B$69/IF(B$98="kVA",IF(F$69,F$69,1),IF(B$98="MPAN",IF(E$69,E$69,1),IF(H$69,H$69,1)))</f>
        <v>0</v>
      </c>
      <c r="C193" s="6">
        <f>C$69/IF(B$98="kVA",IF(F$69,F$69,1),IF(B$98="MPAN",IF(E$69,E$69,1),IF(H$69,H$69,1)))</f>
        <v>0</v>
      </c>
      <c r="D193" s="6">
        <f>D$69/IF(B$98="kVA",IF(F$69,F$69,1),IF(B$98="MPAN",IF(E$69,E$69,1),IF(H$69,H$69,1)))</f>
        <v>0</v>
      </c>
      <c r="E193" s="6">
        <f>E$69/IF(B$98="kVA",IF(F$69,F$69,1),IF(B$98="MPAN",IF(E$69,E$69,1),IF(H$69,H$69,1)))</f>
        <v>0</v>
      </c>
      <c r="F193" s="6">
        <f>F$69/IF(B$98="kVA",IF(F$69,F$69,1),IF(B$98="MPAN",IF(E$69,E$69,1),IF(H$69,H$69,1)))</f>
        <v>0</v>
      </c>
      <c r="G193" s="6">
        <f>G$69/IF(B$98="kVA",IF(F$69,F$69,1),IF(B$98="MPAN",IF(E$69,E$69,1),IF(H$69,H$69,1)))</f>
        <v>0</v>
      </c>
      <c r="H193" s="35">
        <f>0.01*'Input'!F$58*('Adjust'!$E$271*E193+'Adjust'!$F$271*F193)+10*('Adjust'!$B$271*B193+'Adjust'!$C$271*C193+'Adjust'!$D$271*D193+'Adjust'!$G$271*G193)</f>
        <v>0</v>
      </c>
      <c r="I193" s="10"/>
    </row>
    <row r="194" spans="1:9">
      <c r="A194" s="22" t="s">
        <v>216</v>
      </c>
      <c r="I194" s="10"/>
    </row>
    <row r="195" spans="1:9">
      <c r="A195" s="11" t="s">
        <v>216</v>
      </c>
      <c r="B195" s="6">
        <f>B$70/IF(B$99="kVA",IF(F$70,F$70,1),IF(B$99="MPAN",IF(E$70,E$70,1),IF(H$70,H$70,1)))</f>
        <v>0</v>
      </c>
      <c r="C195" s="6">
        <f>C$70/IF(B$99="kVA",IF(F$70,F$70,1),IF(B$99="MPAN",IF(E$70,E$70,1),IF(H$70,H$70,1)))</f>
        <v>0</v>
      </c>
      <c r="D195" s="6">
        <f>D$70/IF(B$99="kVA",IF(F$70,F$70,1),IF(B$99="MPAN",IF(E$70,E$70,1),IF(H$70,H$70,1)))</f>
        <v>0</v>
      </c>
      <c r="E195" s="6">
        <f>E$70/IF(B$99="kVA",IF(F$70,F$70,1),IF(B$99="MPAN",IF(E$70,E$70,1),IF(H$70,H$70,1)))</f>
        <v>0</v>
      </c>
      <c r="F195" s="6">
        <f>F$70/IF(B$99="kVA",IF(F$70,F$70,1),IF(B$99="MPAN",IF(E$70,E$70,1),IF(H$70,H$70,1)))</f>
        <v>0</v>
      </c>
      <c r="G195" s="6">
        <f>G$70/IF(B$99="kVA",IF(F$70,F$70,1),IF(B$99="MPAN",IF(E$70,E$70,1),IF(H$70,H$70,1)))</f>
        <v>0</v>
      </c>
      <c r="H195" s="35">
        <f>0.01*'Input'!F$58*('Adjust'!$E$273*E195+'Adjust'!$F$273*F195)+10*('Adjust'!$B$273*B195+'Adjust'!$C$273*C195+'Adjust'!$D$273*D195+'Adjust'!$G$273*G195)</f>
        <v>0</v>
      </c>
      <c r="I195" s="10"/>
    </row>
    <row r="196" spans="1:9">
      <c r="A196" s="11" t="s">
        <v>270</v>
      </c>
      <c r="B196" s="6">
        <f>B$70/IF(B$99="kVA",IF(F$70,F$70,1),IF(B$99="MPAN",IF(E$70,E$70,1),IF(H$70,H$70,1)))</f>
        <v>0</v>
      </c>
      <c r="C196" s="6">
        <f>C$70/IF(B$99="kVA",IF(F$70,F$70,1),IF(B$99="MPAN",IF(E$70,E$70,1),IF(H$70,H$70,1)))</f>
        <v>0</v>
      </c>
      <c r="D196" s="6">
        <f>D$70/IF(B$99="kVA",IF(F$70,F$70,1),IF(B$99="MPAN",IF(E$70,E$70,1),IF(H$70,H$70,1)))</f>
        <v>0</v>
      </c>
      <c r="E196" s="6">
        <f>E$70/IF(B$99="kVA",IF(F$70,F$70,1),IF(B$99="MPAN",IF(E$70,E$70,1),IF(H$70,H$70,1)))</f>
        <v>0</v>
      </c>
      <c r="F196" s="6">
        <f>F$70/IF(B$99="kVA",IF(F$70,F$70,1),IF(B$99="MPAN",IF(E$70,E$70,1),IF(H$70,H$70,1)))</f>
        <v>0</v>
      </c>
      <c r="G196" s="6">
        <f>G$70/IF(B$99="kVA",IF(F$70,F$70,1),IF(B$99="MPAN",IF(E$70,E$70,1),IF(H$70,H$70,1)))</f>
        <v>0</v>
      </c>
      <c r="H196" s="35">
        <f>0.01*'Input'!F$58*('Adjust'!$E$274*E196+'Adjust'!$F$274*F196)+10*('Adjust'!$B$274*B196+'Adjust'!$C$274*C196+'Adjust'!$D$274*D196+'Adjust'!$G$274*G196)</f>
        <v>0</v>
      </c>
      <c r="I196" s="10"/>
    </row>
    <row r="197" spans="1:9">
      <c r="A197" s="11" t="s">
        <v>271</v>
      </c>
      <c r="B197" s="6">
        <f>B$70/IF(B$99="kVA",IF(F$70,F$70,1),IF(B$99="MPAN",IF(E$70,E$70,1),IF(H$70,H$70,1)))</f>
        <v>0</v>
      </c>
      <c r="C197" s="6">
        <f>C$70/IF(B$99="kVA",IF(F$70,F$70,1),IF(B$99="MPAN",IF(E$70,E$70,1),IF(H$70,H$70,1)))</f>
        <v>0</v>
      </c>
      <c r="D197" s="6">
        <f>D$70/IF(B$99="kVA",IF(F$70,F$70,1),IF(B$99="MPAN",IF(E$70,E$70,1),IF(H$70,H$70,1)))</f>
        <v>0</v>
      </c>
      <c r="E197" s="6">
        <f>E$70/IF(B$99="kVA",IF(F$70,F$70,1),IF(B$99="MPAN",IF(E$70,E$70,1),IF(H$70,H$70,1)))</f>
        <v>0</v>
      </c>
      <c r="F197" s="6">
        <f>F$70/IF(B$99="kVA",IF(F$70,F$70,1),IF(B$99="MPAN",IF(E$70,E$70,1),IF(H$70,H$70,1)))</f>
        <v>0</v>
      </c>
      <c r="G197" s="6">
        <f>G$70/IF(B$99="kVA",IF(F$70,F$70,1),IF(B$99="MPAN",IF(E$70,E$70,1),IF(H$70,H$70,1)))</f>
        <v>0</v>
      </c>
      <c r="H197" s="35">
        <f>0.01*'Input'!F$58*('Adjust'!$E$275*E197+'Adjust'!$F$275*F197)+10*('Adjust'!$B$275*B197+'Adjust'!$C$275*C197+'Adjust'!$D$275*D197+'Adjust'!$G$275*G197)</f>
        <v>0</v>
      </c>
      <c r="I197" s="10"/>
    </row>
    <row r="198" spans="1:9">
      <c r="A198" s="22" t="s">
        <v>180</v>
      </c>
      <c r="I198" s="10"/>
    </row>
    <row r="199" spans="1:9">
      <c r="A199" s="11" t="s">
        <v>180</v>
      </c>
      <c r="B199" s="6">
        <f>B$71/IF(B$100="kVA",IF(F$71,F$71,1),IF(B$100="MPAN",IF(E$71,E$71,1),IF(H$71,H$71,1)))</f>
        <v>0</v>
      </c>
      <c r="C199" s="6">
        <f>C$71/IF(B$100="kVA",IF(F$71,F$71,1),IF(B$100="MPAN",IF(E$71,E$71,1),IF(H$71,H$71,1)))</f>
        <v>0</v>
      </c>
      <c r="D199" s="6">
        <f>D$71/IF(B$100="kVA",IF(F$71,F$71,1),IF(B$100="MPAN",IF(E$71,E$71,1),IF(H$71,H$71,1)))</f>
        <v>0</v>
      </c>
      <c r="E199" s="6">
        <f>E$71/IF(B$100="kVA",IF(F$71,F$71,1),IF(B$100="MPAN",IF(E$71,E$71,1),IF(H$71,H$71,1)))</f>
        <v>0</v>
      </c>
      <c r="F199" s="6">
        <f>F$71/IF(B$100="kVA",IF(F$71,F$71,1),IF(B$100="MPAN",IF(E$71,E$71,1),IF(H$71,H$71,1)))</f>
        <v>0</v>
      </c>
      <c r="G199" s="6">
        <f>G$71/IF(B$100="kVA",IF(F$71,F$71,1),IF(B$100="MPAN",IF(E$71,E$71,1),IF(H$71,H$71,1)))</f>
        <v>0</v>
      </c>
      <c r="H199" s="35">
        <f>0.01*'Input'!F$58*('Adjust'!$E$277*E199+'Adjust'!$F$277*F199)+10*('Adjust'!$B$277*B199+'Adjust'!$C$277*C199+'Adjust'!$D$277*D199+'Adjust'!$G$277*G199)</f>
        <v>0</v>
      </c>
      <c r="I199" s="10"/>
    </row>
    <row r="200" spans="1:9">
      <c r="A200" s="11" t="s">
        <v>273</v>
      </c>
      <c r="B200" s="6">
        <f>B$71/IF(B$100="kVA",IF(F$71,F$71,1),IF(B$100="MPAN",IF(E$71,E$71,1),IF(H$71,H$71,1)))</f>
        <v>0</v>
      </c>
      <c r="C200" s="6">
        <f>C$71/IF(B$100="kVA",IF(F$71,F$71,1),IF(B$100="MPAN",IF(E$71,E$71,1),IF(H$71,H$71,1)))</f>
        <v>0</v>
      </c>
      <c r="D200" s="6">
        <f>D$71/IF(B$100="kVA",IF(F$71,F$71,1),IF(B$100="MPAN",IF(E$71,E$71,1),IF(H$71,H$71,1)))</f>
        <v>0</v>
      </c>
      <c r="E200" s="6">
        <f>E$71/IF(B$100="kVA",IF(F$71,F$71,1),IF(B$100="MPAN",IF(E$71,E$71,1),IF(H$71,H$71,1)))</f>
        <v>0</v>
      </c>
      <c r="F200" s="6">
        <f>F$71/IF(B$100="kVA",IF(F$71,F$71,1),IF(B$100="MPAN",IF(E$71,E$71,1),IF(H$71,H$71,1)))</f>
        <v>0</v>
      </c>
      <c r="G200" s="6">
        <f>G$71/IF(B$100="kVA",IF(F$71,F$71,1),IF(B$100="MPAN",IF(E$71,E$71,1),IF(H$71,H$71,1)))</f>
        <v>0</v>
      </c>
      <c r="H200" s="35">
        <f>0.01*'Input'!F$58*('Adjust'!$E$278*E200+'Adjust'!$F$278*F200)+10*('Adjust'!$B$278*B200+'Adjust'!$C$278*C200+'Adjust'!$D$278*D200+'Adjust'!$G$278*G200)</f>
        <v>0</v>
      </c>
      <c r="I200" s="10"/>
    </row>
    <row r="201" spans="1:9">
      <c r="A201" s="11" t="s">
        <v>274</v>
      </c>
      <c r="B201" s="6">
        <f>B$71/IF(B$100="kVA",IF(F$71,F$71,1),IF(B$100="MPAN",IF(E$71,E$71,1),IF(H$71,H$71,1)))</f>
        <v>0</v>
      </c>
      <c r="C201" s="6">
        <f>C$71/IF(B$100="kVA",IF(F$71,F$71,1),IF(B$100="MPAN",IF(E$71,E$71,1),IF(H$71,H$71,1)))</f>
        <v>0</v>
      </c>
      <c r="D201" s="6">
        <f>D$71/IF(B$100="kVA",IF(F$71,F$71,1),IF(B$100="MPAN",IF(E$71,E$71,1),IF(H$71,H$71,1)))</f>
        <v>0</v>
      </c>
      <c r="E201" s="6">
        <f>E$71/IF(B$100="kVA",IF(F$71,F$71,1),IF(B$100="MPAN",IF(E$71,E$71,1),IF(H$71,H$71,1)))</f>
        <v>0</v>
      </c>
      <c r="F201" s="6">
        <f>F$71/IF(B$100="kVA",IF(F$71,F$71,1),IF(B$100="MPAN",IF(E$71,E$71,1),IF(H$71,H$71,1)))</f>
        <v>0</v>
      </c>
      <c r="G201" s="6">
        <f>G$71/IF(B$100="kVA",IF(F$71,F$71,1),IF(B$100="MPAN",IF(E$71,E$71,1),IF(H$71,H$71,1)))</f>
        <v>0</v>
      </c>
      <c r="H201" s="35">
        <f>0.01*'Input'!F$58*('Adjust'!$E$279*E201+'Adjust'!$F$279*F201)+10*('Adjust'!$B$279*B201+'Adjust'!$C$279*C201+'Adjust'!$D$279*D201+'Adjust'!$G$279*G201)</f>
        <v>0</v>
      </c>
      <c r="I201" s="10"/>
    </row>
    <row r="202" spans="1:9">
      <c r="A202" s="22" t="s">
        <v>181</v>
      </c>
      <c r="I202" s="10"/>
    </row>
    <row r="203" spans="1:9">
      <c r="A203" s="11" t="s">
        <v>181</v>
      </c>
      <c r="B203" s="6">
        <f>B$72/IF(B$101="kVA",IF(F$72,F$72,1),IF(B$101="MPAN",IF(E$72,E$72,1),IF(H$72,H$72,1)))</f>
        <v>0</v>
      </c>
      <c r="C203" s="6">
        <f>C$72/IF(B$101="kVA",IF(F$72,F$72,1),IF(B$101="MPAN",IF(E$72,E$72,1),IF(H$72,H$72,1)))</f>
        <v>0</v>
      </c>
      <c r="D203" s="6">
        <f>D$72/IF(B$101="kVA",IF(F$72,F$72,1),IF(B$101="MPAN",IF(E$72,E$72,1),IF(H$72,H$72,1)))</f>
        <v>0</v>
      </c>
      <c r="E203" s="6">
        <f>E$72/IF(B$101="kVA",IF(F$72,F$72,1),IF(B$101="MPAN",IF(E$72,E$72,1),IF(H$72,H$72,1)))</f>
        <v>0</v>
      </c>
      <c r="F203" s="6">
        <f>F$72/IF(B$101="kVA",IF(F$72,F$72,1),IF(B$101="MPAN",IF(E$72,E$72,1),IF(H$72,H$72,1)))</f>
        <v>0</v>
      </c>
      <c r="G203" s="6">
        <f>G$72/IF(B$101="kVA",IF(F$72,F$72,1),IF(B$101="MPAN",IF(E$72,E$72,1),IF(H$72,H$72,1)))</f>
        <v>0</v>
      </c>
      <c r="H203" s="35">
        <f>0.01*'Input'!F$58*('Adjust'!$E$281*E203+'Adjust'!$F$281*F203)+10*('Adjust'!$B$281*B203+'Adjust'!$C$281*C203+'Adjust'!$D$281*D203+'Adjust'!$G$281*G203)</f>
        <v>0</v>
      </c>
      <c r="I203" s="10"/>
    </row>
    <row r="204" spans="1:9">
      <c r="A204" s="11" t="s">
        <v>276</v>
      </c>
      <c r="B204" s="6">
        <f>B$72/IF(B$101="kVA",IF(F$72,F$72,1),IF(B$101="MPAN",IF(E$72,E$72,1),IF(H$72,H$72,1)))</f>
        <v>0</v>
      </c>
      <c r="C204" s="6">
        <f>C$72/IF(B$101="kVA",IF(F$72,F$72,1),IF(B$101="MPAN",IF(E$72,E$72,1),IF(H$72,H$72,1)))</f>
        <v>0</v>
      </c>
      <c r="D204" s="6">
        <f>D$72/IF(B$101="kVA",IF(F$72,F$72,1),IF(B$101="MPAN",IF(E$72,E$72,1),IF(H$72,H$72,1)))</f>
        <v>0</v>
      </c>
      <c r="E204" s="6">
        <f>E$72/IF(B$101="kVA",IF(F$72,F$72,1),IF(B$101="MPAN",IF(E$72,E$72,1),IF(H$72,H$72,1)))</f>
        <v>0</v>
      </c>
      <c r="F204" s="6">
        <f>F$72/IF(B$101="kVA",IF(F$72,F$72,1),IF(B$101="MPAN",IF(E$72,E$72,1),IF(H$72,H$72,1)))</f>
        <v>0</v>
      </c>
      <c r="G204" s="6">
        <f>G$72/IF(B$101="kVA",IF(F$72,F$72,1),IF(B$101="MPAN",IF(E$72,E$72,1),IF(H$72,H$72,1)))</f>
        <v>0</v>
      </c>
      <c r="H204" s="35">
        <f>0.01*'Input'!F$58*('Adjust'!$E$282*E204+'Adjust'!$F$282*F204)+10*('Adjust'!$B$282*B204+'Adjust'!$C$282*C204+'Adjust'!$D$282*D204+'Adjust'!$G$282*G204)</f>
        <v>0</v>
      </c>
      <c r="I204" s="10"/>
    </row>
    <row r="205" spans="1:9">
      <c r="A205" s="22" t="s">
        <v>182</v>
      </c>
      <c r="I205" s="10"/>
    </row>
    <row r="206" spans="1:9">
      <c r="A206" s="11" t="s">
        <v>182</v>
      </c>
      <c r="B206" s="6">
        <f>B$73/IF(B$102="kVA",IF(F$73,F$73,1),IF(B$102="MPAN",IF(E$73,E$73,1),IF(H$73,H$73,1)))</f>
        <v>0</v>
      </c>
      <c r="C206" s="6">
        <f>C$73/IF(B$102="kVA",IF(F$73,F$73,1),IF(B$102="MPAN",IF(E$73,E$73,1),IF(H$73,H$73,1)))</f>
        <v>0</v>
      </c>
      <c r="D206" s="6">
        <f>D$73/IF(B$102="kVA",IF(F$73,F$73,1),IF(B$102="MPAN",IF(E$73,E$73,1),IF(H$73,H$73,1)))</f>
        <v>0</v>
      </c>
      <c r="E206" s="6">
        <f>E$73/IF(B$102="kVA",IF(F$73,F$73,1),IF(B$102="MPAN",IF(E$73,E$73,1),IF(H$73,H$73,1)))</f>
        <v>0</v>
      </c>
      <c r="F206" s="6">
        <f>F$73/IF(B$102="kVA",IF(F$73,F$73,1),IF(B$102="MPAN",IF(E$73,E$73,1),IF(H$73,H$73,1)))</f>
        <v>0</v>
      </c>
      <c r="G206" s="6">
        <f>G$73/IF(B$102="kVA",IF(F$73,F$73,1),IF(B$102="MPAN",IF(E$73,E$73,1),IF(H$73,H$73,1)))</f>
        <v>0</v>
      </c>
      <c r="H206" s="35">
        <f>0.01*'Input'!F$58*('Adjust'!$E$284*E206+'Adjust'!$F$284*F206)+10*('Adjust'!$B$284*B206+'Adjust'!$C$284*C206+'Adjust'!$D$284*D206+'Adjust'!$G$284*G206)</f>
        <v>0</v>
      </c>
      <c r="I206" s="10"/>
    </row>
    <row r="207" spans="1:9">
      <c r="A207" s="11" t="s">
        <v>278</v>
      </c>
      <c r="B207" s="6">
        <f>B$73/IF(B$102="kVA",IF(F$73,F$73,1),IF(B$102="MPAN",IF(E$73,E$73,1),IF(H$73,H$73,1)))</f>
        <v>0</v>
      </c>
      <c r="C207" s="6">
        <f>C$73/IF(B$102="kVA",IF(F$73,F$73,1),IF(B$102="MPAN",IF(E$73,E$73,1),IF(H$73,H$73,1)))</f>
        <v>0</v>
      </c>
      <c r="D207" s="6">
        <f>D$73/IF(B$102="kVA",IF(F$73,F$73,1),IF(B$102="MPAN",IF(E$73,E$73,1),IF(H$73,H$73,1)))</f>
        <v>0</v>
      </c>
      <c r="E207" s="6">
        <f>E$73/IF(B$102="kVA",IF(F$73,F$73,1),IF(B$102="MPAN",IF(E$73,E$73,1),IF(H$73,H$73,1)))</f>
        <v>0</v>
      </c>
      <c r="F207" s="6">
        <f>F$73/IF(B$102="kVA",IF(F$73,F$73,1),IF(B$102="MPAN",IF(E$73,E$73,1),IF(H$73,H$73,1)))</f>
        <v>0</v>
      </c>
      <c r="G207" s="6">
        <f>G$73/IF(B$102="kVA",IF(F$73,F$73,1),IF(B$102="MPAN",IF(E$73,E$73,1),IF(H$73,H$73,1)))</f>
        <v>0</v>
      </c>
      <c r="H207" s="35">
        <f>0.01*'Input'!F$58*('Adjust'!$E$285*E207+'Adjust'!$F$285*F207)+10*('Adjust'!$B$285*B207+'Adjust'!$C$285*C207+'Adjust'!$D$285*D207+'Adjust'!$G$285*G207)</f>
        <v>0</v>
      </c>
      <c r="I207" s="10"/>
    </row>
    <row r="208" spans="1:9">
      <c r="A208" s="11" t="s">
        <v>279</v>
      </c>
      <c r="B208" s="6">
        <f>B$73/IF(B$102="kVA",IF(F$73,F$73,1),IF(B$102="MPAN",IF(E$73,E$73,1),IF(H$73,H$73,1)))</f>
        <v>0</v>
      </c>
      <c r="C208" s="6">
        <f>C$73/IF(B$102="kVA",IF(F$73,F$73,1),IF(B$102="MPAN",IF(E$73,E$73,1),IF(H$73,H$73,1)))</f>
        <v>0</v>
      </c>
      <c r="D208" s="6">
        <f>D$73/IF(B$102="kVA",IF(F$73,F$73,1),IF(B$102="MPAN",IF(E$73,E$73,1),IF(H$73,H$73,1)))</f>
        <v>0</v>
      </c>
      <c r="E208" s="6">
        <f>E$73/IF(B$102="kVA",IF(F$73,F$73,1),IF(B$102="MPAN",IF(E$73,E$73,1),IF(H$73,H$73,1)))</f>
        <v>0</v>
      </c>
      <c r="F208" s="6">
        <f>F$73/IF(B$102="kVA",IF(F$73,F$73,1),IF(B$102="MPAN",IF(E$73,E$73,1),IF(H$73,H$73,1)))</f>
        <v>0</v>
      </c>
      <c r="G208" s="6">
        <f>G$73/IF(B$102="kVA",IF(F$73,F$73,1),IF(B$102="MPAN",IF(E$73,E$73,1),IF(H$73,H$73,1)))</f>
        <v>0</v>
      </c>
      <c r="H208" s="35">
        <f>0.01*'Input'!F$58*('Adjust'!$E$286*E208+'Adjust'!$F$286*F208)+10*('Adjust'!$B$286*B208+'Adjust'!$C$286*C208+'Adjust'!$D$286*D208+'Adjust'!$G$286*G208)</f>
        <v>0</v>
      </c>
      <c r="I208" s="10"/>
    </row>
    <row r="209" spans="1:9">
      <c r="A209" s="22" t="s">
        <v>183</v>
      </c>
      <c r="I209" s="10"/>
    </row>
    <row r="210" spans="1:9">
      <c r="A210" s="11" t="s">
        <v>183</v>
      </c>
      <c r="B210" s="6">
        <f>B$74/IF(B$103="kVA",IF(F$74,F$74,1),IF(B$103="MPAN",IF(E$74,E$74,1),IF(H$74,H$74,1)))</f>
        <v>0</v>
      </c>
      <c r="C210" s="6">
        <f>C$74/IF(B$103="kVA",IF(F$74,F$74,1),IF(B$103="MPAN",IF(E$74,E$74,1),IF(H$74,H$74,1)))</f>
        <v>0</v>
      </c>
      <c r="D210" s="6">
        <f>D$74/IF(B$103="kVA",IF(F$74,F$74,1),IF(B$103="MPAN",IF(E$74,E$74,1),IF(H$74,H$74,1)))</f>
        <v>0</v>
      </c>
      <c r="E210" s="6">
        <f>E$74/IF(B$103="kVA",IF(F$74,F$74,1),IF(B$103="MPAN",IF(E$74,E$74,1),IF(H$74,H$74,1)))</f>
        <v>0</v>
      </c>
      <c r="F210" s="6">
        <f>F$74/IF(B$103="kVA",IF(F$74,F$74,1),IF(B$103="MPAN",IF(E$74,E$74,1),IF(H$74,H$74,1)))</f>
        <v>0</v>
      </c>
      <c r="G210" s="6">
        <f>G$74/IF(B$103="kVA",IF(F$74,F$74,1),IF(B$103="MPAN",IF(E$74,E$74,1),IF(H$74,H$74,1)))</f>
        <v>0</v>
      </c>
      <c r="H210" s="35">
        <f>0.01*'Input'!F$58*('Adjust'!$E$288*E210+'Adjust'!$F$288*F210)+10*('Adjust'!$B$288*B210+'Adjust'!$C$288*C210+'Adjust'!$D$288*D210+'Adjust'!$G$288*G210)</f>
        <v>0</v>
      </c>
      <c r="I210" s="10"/>
    </row>
    <row r="211" spans="1:9">
      <c r="A211" s="11" t="s">
        <v>281</v>
      </c>
      <c r="B211" s="6">
        <f>B$74/IF(B$103="kVA",IF(F$74,F$74,1),IF(B$103="MPAN",IF(E$74,E$74,1),IF(H$74,H$74,1)))</f>
        <v>0</v>
      </c>
      <c r="C211" s="6">
        <f>C$74/IF(B$103="kVA",IF(F$74,F$74,1),IF(B$103="MPAN",IF(E$74,E$74,1),IF(H$74,H$74,1)))</f>
        <v>0</v>
      </c>
      <c r="D211" s="6">
        <f>D$74/IF(B$103="kVA",IF(F$74,F$74,1),IF(B$103="MPAN",IF(E$74,E$74,1),IF(H$74,H$74,1)))</f>
        <v>0</v>
      </c>
      <c r="E211" s="6">
        <f>E$74/IF(B$103="kVA",IF(F$74,F$74,1),IF(B$103="MPAN",IF(E$74,E$74,1),IF(H$74,H$74,1)))</f>
        <v>0</v>
      </c>
      <c r="F211" s="6">
        <f>F$74/IF(B$103="kVA",IF(F$74,F$74,1),IF(B$103="MPAN",IF(E$74,E$74,1),IF(H$74,H$74,1)))</f>
        <v>0</v>
      </c>
      <c r="G211" s="6">
        <f>G$74/IF(B$103="kVA",IF(F$74,F$74,1),IF(B$103="MPAN",IF(E$74,E$74,1),IF(H$74,H$74,1)))</f>
        <v>0</v>
      </c>
      <c r="H211" s="35">
        <f>0.01*'Input'!F$58*('Adjust'!$E$289*E211+'Adjust'!$F$289*F211)+10*('Adjust'!$B$289*B211+'Adjust'!$C$289*C211+'Adjust'!$D$289*D211+'Adjust'!$G$289*G211)</f>
        <v>0</v>
      </c>
      <c r="I211" s="10"/>
    </row>
    <row r="212" spans="1:9">
      <c r="A212" s="11" t="s">
        <v>282</v>
      </c>
      <c r="B212" s="6">
        <f>B$74/IF(B$103="kVA",IF(F$74,F$74,1),IF(B$103="MPAN",IF(E$74,E$74,1),IF(H$74,H$74,1)))</f>
        <v>0</v>
      </c>
      <c r="C212" s="6">
        <f>C$74/IF(B$103="kVA",IF(F$74,F$74,1),IF(B$103="MPAN",IF(E$74,E$74,1),IF(H$74,H$74,1)))</f>
        <v>0</v>
      </c>
      <c r="D212" s="6">
        <f>D$74/IF(B$103="kVA",IF(F$74,F$74,1),IF(B$103="MPAN",IF(E$74,E$74,1),IF(H$74,H$74,1)))</f>
        <v>0</v>
      </c>
      <c r="E212" s="6">
        <f>E$74/IF(B$103="kVA",IF(F$74,F$74,1),IF(B$103="MPAN",IF(E$74,E$74,1),IF(H$74,H$74,1)))</f>
        <v>0</v>
      </c>
      <c r="F212" s="6">
        <f>F$74/IF(B$103="kVA",IF(F$74,F$74,1),IF(B$103="MPAN",IF(E$74,E$74,1),IF(H$74,H$74,1)))</f>
        <v>0</v>
      </c>
      <c r="G212" s="6">
        <f>G$74/IF(B$103="kVA",IF(F$74,F$74,1),IF(B$103="MPAN",IF(E$74,E$74,1),IF(H$74,H$74,1)))</f>
        <v>0</v>
      </c>
      <c r="H212" s="35">
        <f>0.01*'Input'!F$58*('Adjust'!$E$290*E212+'Adjust'!$F$290*F212)+10*('Adjust'!$B$290*B212+'Adjust'!$C$290*C212+'Adjust'!$D$290*D212+'Adjust'!$G$290*G212)</f>
        <v>0</v>
      </c>
      <c r="I212" s="10"/>
    </row>
    <row r="213" spans="1:9">
      <c r="A213" s="22" t="s">
        <v>184</v>
      </c>
      <c r="I213" s="10"/>
    </row>
    <row r="214" spans="1:9">
      <c r="A214" s="11" t="s">
        <v>184</v>
      </c>
      <c r="B214" s="6">
        <f>B$75/IF(B$104="kVA",IF(F$75,F$75,1),IF(B$104="MPAN",IF(E$75,E$75,1),IF(H$75,H$75,1)))</f>
        <v>0</v>
      </c>
      <c r="C214" s="6">
        <f>C$75/IF(B$104="kVA",IF(F$75,F$75,1),IF(B$104="MPAN",IF(E$75,E$75,1),IF(H$75,H$75,1)))</f>
        <v>0</v>
      </c>
      <c r="D214" s="6">
        <f>D$75/IF(B$104="kVA",IF(F$75,F$75,1),IF(B$104="MPAN",IF(E$75,E$75,1),IF(H$75,H$75,1)))</f>
        <v>0</v>
      </c>
      <c r="E214" s="6">
        <f>E$75/IF(B$104="kVA",IF(F$75,F$75,1),IF(B$104="MPAN",IF(E$75,E$75,1),IF(H$75,H$75,1)))</f>
        <v>0</v>
      </c>
      <c r="F214" s="6">
        <f>F$75/IF(B$104="kVA",IF(F$75,F$75,1),IF(B$104="MPAN",IF(E$75,E$75,1),IF(H$75,H$75,1)))</f>
        <v>0</v>
      </c>
      <c r="G214" s="6">
        <f>G$75/IF(B$104="kVA",IF(F$75,F$75,1),IF(B$104="MPAN",IF(E$75,E$75,1),IF(H$75,H$75,1)))</f>
        <v>0</v>
      </c>
      <c r="H214" s="35">
        <f>0.01*'Input'!F$58*('Adjust'!$E$292*E214+'Adjust'!$F$292*F214)+10*('Adjust'!$B$292*B214+'Adjust'!$C$292*C214+'Adjust'!$D$292*D214+'Adjust'!$G$292*G214)</f>
        <v>0</v>
      </c>
      <c r="I214" s="10"/>
    </row>
    <row r="215" spans="1:9">
      <c r="A215" s="11" t="s">
        <v>284</v>
      </c>
      <c r="B215" s="6">
        <f>B$75/IF(B$104="kVA",IF(F$75,F$75,1),IF(B$104="MPAN",IF(E$75,E$75,1),IF(H$75,H$75,1)))</f>
        <v>0</v>
      </c>
      <c r="C215" s="6">
        <f>C$75/IF(B$104="kVA",IF(F$75,F$75,1),IF(B$104="MPAN",IF(E$75,E$75,1),IF(H$75,H$75,1)))</f>
        <v>0</v>
      </c>
      <c r="D215" s="6">
        <f>D$75/IF(B$104="kVA",IF(F$75,F$75,1),IF(B$104="MPAN",IF(E$75,E$75,1),IF(H$75,H$75,1)))</f>
        <v>0</v>
      </c>
      <c r="E215" s="6">
        <f>E$75/IF(B$104="kVA",IF(F$75,F$75,1),IF(B$104="MPAN",IF(E$75,E$75,1),IF(H$75,H$75,1)))</f>
        <v>0</v>
      </c>
      <c r="F215" s="6">
        <f>F$75/IF(B$104="kVA",IF(F$75,F$75,1),IF(B$104="MPAN",IF(E$75,E$75,1),IF(H$75,H$75,1)))</f>
        <v>0</v>
      </c>
      <c r="G215" s="6">
        <f>G$75/IF(B$104="kVA",IF(F$75,F$75,1),IF(B$104="MPAN",IF(E$75,E$75,1),IF(H$75,H$75,1)))</f>
        <v>0</v>
      </c>
      <c r="H215" s="35">
        <f>0.01*'Input'!F$58*('Adjust'!$E$293*E215+'Adjust'!$F$293*F215)+10*('Adjust'!$B$293*B215+'Adjust'!$C$293*C215+'Adjust'!$D$293*D215+'Adjust'!$G$293*G215)</f>
        <v>0</v>
      </c>
      <c r="I215" s="10"/>
    </row>
    <row r="216" spans="1:9">
      <c r="A216" s="22" t="s">
        <v>185</v>
      </c>
      <c r="I216" s="10"/>
    </row>
    <row r="217" spans="1:9">
      <c r="A217" s="11" t="s">
        <v>185</v>
      </c>
      <c r="B217" s="6">
        <f>B$76/IF(B$105="kVA",IF(F$76,F$76,1),IF(B$105="MPAN",IF(E$76,E$76,1),IF(H$76,H$76,1)))</f>
        <v>0</v>
      </c>
      <c r="C217" s="6">
        <f>C$76/IF(B$105="kVA",IF(F$76,F$76,1),IF(B$105="MPAN",IF(E$76,E$76,1),IF(H$76,H$76,1)))</f>
        <v>0</v>
      </c>
      <c r="D217" s="6">
        <f>D$76/IF(B$105="kVA",IF(F$76,F$76,1),IF(B$105="MPAN",IF(E$76,E$76,1),IF(H$76,H$76,1)))</f>
        <v>0</v>
      </c>
      <c r="E217" s="6">
        <f>E$76/IF(B$105="kVA",IF(F$76,F$76,1),IF(B$105="MPAN",IF(E$76,E$76,1),IF(H$76,H$76,1)))</f>
        <v>0</v>
      </c>
      <c r="F217" s="6">
        <f>F$76/IF(B$105="kVA",IF(F$76,F$76,1),IF(B$105="MPAN",IF(E$76,E$76,1),IF(H$76,H$76,1)))</f>
        <v>0</v>
      </c>
      <c r="G217" s="6">
        <f>G$76/IF(B$105="kVA",IF(F$76,F$76,1),IF(B$105="MPAN",IF(E$76,E$76,1),IF(H$76,H$76,1)))</f>
        <v>0</v>
      </c>
      <c r="H217" s="35">
        <f>0.01*'Input'!F$58*('Adjust'!$E$295*E217+'Adjust'!$F$295*F217)+10*('Adjust'!$B$295*B217+'Adjust'!$C$295*C217+'Adjust'!$D$295*D217+'Adjust'!$G$295*G217)</f>
        <v>0</v>
      </c>
      <c r="I217" s="10"/>
    </row>
    <row r="218" spans="1:9">
      <c r="A218" s="11" t="s">
        <v>286</v>
      </c>
      <c r="B218" s="6">
        <f>B$76/IF(B$105="kVA",IF(F$76,F$76,1),IF(B$105="MPAN",IF(E$76,E$76,1),IF(H$76,H$76,1)))</f>
        <v>0</v>
      </c>
      <c r="C218" s="6">
        <f>C$76/IF(B$105="kVA",IF(F$76,F$76,1),IF(B$105="MPAN",IF(E$76,E$76,1),IF(H$76,H$76,1)))</f>
        <v>0</v>
      </c>
      <c r="D218" s="6">
        <f>D$76/IF(B$105="kVA",IF(F$76,F$76,1),IF(B$105="MPAN",IF(E$76,E$76,1),IF(H$76,H$76,1)))</f>
        <v>0</v>
      </c>
      <c r="E218" s="6">
        <f>E$76/IF(B$105="kVA",IF(F$76,F$76,1),IF(B$105="MPAN",IF(E$76,E$76,1),IF(H$76,H$76,1)))</f>
        <v>0</v>
      </c>
      <c r="F218" s="6">
        <f>F$76/IF(B$105="kVA",IF(F$76,F$76,1),IF(B$105="MPAN",IF(E$76,E$76,1),IF(H$76,H$76,1)))</f>
        <v>0</v>
      </c>
      <c r="G218" s="6">
        <f>G$76/IF(B$105="kVA",IF(F$76,F$76,1),IF(B$105="MPAN",IF(E$76,E$76,1),IF(H$76,H$76,1)))</f>
        <v>0</v>
      </c>
      <c r="H218" s="35">
        <f>0.01*'Input'!F$58*('Adjust'!$E$296*E218+'Adjust'!$F$296*F218)+10*('Adjust'!$B$296*B218+'Adjust'!$C$296*C218+'Adjust'!$D$296*D218+'Adjust'!$G$296*G218)</f>
        <v>0</v>
      </c>
      <c r="I218" s="10"/>
    </row>
    <row r="219" spans="1:9">
      <c r="A219" s="22" t="s">
        <v>193</v>
      </c>
      <c r="I219" s="10"/>
    </row>
    <row r="220" spans="1:9">
      <c r="A220" s="11" t="s">
        <v>193</v>
      </c>
      <c r="B220" s="6">
        <f>B$77/IF(B$106="kVA",IF(F$77,F$77,1),IF(B$106="MPAN",IF(E$77,E$77,1),IF(H$77,H$77,1)))</f>
        <v>0</v>
      </c>
      <c r="C220" s="6">
        <f>C$77/IF(B$106="kVA",IF(F$77,F$77,1),IF(B$106="MPAN",IF(E$77,E$77,1),IF(H$77,H$77,1)))</f>
        <v>0</v>
      </c>
      <c r="D220" s="6">
        <f>D$77/IF(B$106="kVA",IF(F$77,F$77,1),IF(B$106="MPAN",IF(E$77,E$77,1),IF(H$77,H$77,1)))</f>
        <v>0</v>
      </c>
      <c r="E220" s="6">
        <f>E$77/IF(B$106="kVA",IF(F$77,F$77,1),IF(B$106="MPAN",IF(E$77,E$77,1),IF(H$77,H$77,1)))</f>
        <v>0</v>
      </c>
      <c r="F220" s="6">
        <f>F$77/IF(B$106="kVA",IF(F$77,F$77,1),IF(B$106="MPAN",IF(E$77,E$77,1),IF(H$77,H$77,1)))</f>
        <v>0</v>
      </c>
      <c r="G220" s="6">
        <f>G$77/IF(B$106="kVA",IF(F$77,F$77,1),IF(B$106="MPAN",IF(E$77,E$77,1),IF(H$77,H$77,1)))</f>
        <v>0</v>
      </c>
      <c r="H220" s="35">
        <f>0.01*'Input'!F$58*('Adjust'!$E$298*E220+'Adjust'!$F$298*F220)+10*('Adjust'!$B$298*B220+'Adjust'!$C$298*C220+'Adjust'!$D$298*D220+'Adjust'!$G$298*G220)</f>
        <v>0</v>
      </c>
      <c r="I220" s="10"/>
    </row>
    <row r="221" spans="1:9">
      <c r="A221" s="11" t="s">
        <v>288</v>
      </c>
      <c r="B221" s="6">
        <f>B$77/IF(B$106="kVA",IF(F$77,F$77,1),IF(B$106="MPAN",IF(E$77,E$77,1),IF(H$77,H$77,1)))</f>
        <v>0</v>
      </c>
      <c r="C221" s="6">
        <f>C$77/IF(B$106="kVA",IF(F$77,F$77,1),IF(B$106="MPAN",IF(E$77,E$77,1),IF(H$77,H$77,1)))</f>
        <v>0</v>
      </c>
      <c r="D221" s="6">
        <f>D$77/IF(B$106="kVA",IF(F$77,F$77,1),IF(B$106="MPAN",IF(E$77,E$77,1),IF(H$77,H$77,1)))</f>
        <v>0</v>
      </c>
      <c r="E221" s="6">
        <f>E$77/IF(B$106="kVA",IF(F$77,F$77,1),IF(B$106="MPAN",IF(E$77,E$77,1),IF(H$77,H$77,1)))</f>
        <v>0</v>
      </c>
      <c r="F221" s="6">
        <f>F$77/IF(B$106="kVA",IF(F$77,F$77,1),IF(B$106="MPAN",IF(E$77,E$77,1),IF(H$77,H$77,1)))</f>
        <v>0</v>
      </c>
      <c r="G221" s="6">
        <f>G$77/IF(B$106="kVA",IF(F$77,F$77,1),IF(B$106="MPAN",IF(E$77,E$77,1),IF(H$77,H$77,1)))</f>
        <v>0</v>
      </c>
      <c r="H221" s="35">
        <f>0.01*'Input'!F$58*('Adjust'!$E$299*E221+'Adjust'!$F$299*F221)+10*('Adjust'!$B$299*B221+'Adjust'!$C$299*C221+'Adjust'!$D$299*D221+'Adjust'!$G$299*G221)</f>
        <v>0</v>
      </c>
      <c r="I221" s="10"/>
    </row>
    <row r="222" spans="1:9">
      <c r="A222" s="22" t="s">
        <v>194</v>
      </c>
      <c r="I222" s="10"/>
    </row>
    <row r="223" spans="1:9">
      <c r="A223" s="11" t="s">
        <v>194</v>
      </c>
      <c r="B223" s="6">
        <f>B$78/IF(B$107="kVA",IF(F$78,F$78,1),IF(B$107="MPAN",IF(E$78,E$78,1),IF(H$78,H$78,1)))</f>
        <v>0</v>
      </c>
      <c r="C223" s="6">
        <f>C$78/IF(B$107="kVA",IF(F$78,F$78,1),IF(B$107="MPAN",IF(E$78,E$78,1),IF(H$78,H$78,1)))</f>
        <v>0</v>
      </c>
      <c r="D223" s="6">
        <f>D$78/IF(B$107="kVA",IF(F$78,F$78,1),IF(B$107="MPAN",IF(E$78,E$78,1),IF(H$78,H$78,1)))</f>
        <v>0</v>
      </c>
      <c r="E223" s="6">
        <f>E$78/IF(B$107="kVA",IF(F$78,F$78,1),IF(B$107="MPAN",IF(E$78,E$78,1),IF(H$78,H$78,1)))</f>
        <v>0</v>
      </c>
      <c r="F223" s="6">
        <f>F$78/IF(B$107="kVA",IF(F$78,F$78,1),IF(B$107="MPAN",IF(E$78,E$78,1),IF(H$78,H$78,1)))</f>
        <v>0</v>
      </c>
      <c r="G223" s="6">
        <f>G$78/IF(B$107="kVA",IF(F$78,F$78,1),IF(B$107="MPAN",IF(E$78,E$78,1),IF(H$78,H$78,1)))</f>
        <v>0</v>
      </c>
      <c r="H223" s="35">
        <f>0.01*'Input'!F$58*('Adjust'!$E$301*E223+'Adjust'!$F$301*F223)+10*('Adjust'!$B$301*B223+'Adjust'!$C$301*C223+'Adjust'!$D$301*D223+'Adjust'!$G$301*G223)</f>
        <v>0</v>
      </c>
      <c r="I223" s="10"/>
    </row>
    <row r="224" spans="1:9">
      <c r="A224" s="11" t="s">
        <v>290</v>
      </c>
      <c r="B224" s="6">
        <f>B$78/IF(B$107="kVA",IF(F$78,F$78,1),IF(B$107="MPAN",IF(E$78,E$78,1),IF(H$78,H$78,1)))</f>
        <v>0</v>
      </c>
      <c r="C224" s="6">
        <f>C$78/IF(B$107="kVA",IF(F$78,F$78,1),IF(B$107="MPAN",IF(E$78,E$78,1),IF(H$78,H$78,1)))</f>
        <v>0</v>
      </c>
      <c r="D224" s="6">
        <f>D$78/IF(B$107="kVA",IF(F$78,F$78,1),IF(B$107="MPAN",IF(E$78,E$78,1),IF(H$78,H$78,1)))</f>
        <v>0</v>
      </c>
      <c r="E224" s="6">
        <f>E$78/IF(B$107="kVA",IF(F$78,F$78,1),IF(B$107="MPAN",IF(E$78,E$78,1),IF(H$78,H$78,1)))</f>
        <v>0</v>
      </c>
      <c r="F224" s="6">
        <f>F$78/IF(B$107="kVA",IF(F$78,F$78,1),IF(B$107="MPAN",IF(E$78,E$78,1),IF(H$78,H$78,1)))</f>
        <v>0</v>
      </c>
      <c r="G224" s="6">
        <f>G$78/IF(B$107="kVA",IF(F$78,F$78,1),IF(B$107="MPAN",IF(E$78,E$78,1),IF(H$78,H$78,1)))</f>
        <v>0</v>
      </c>
      <c r="H224" s="35">
        <f>0.01*'Input'!F$58*('Adjust'!$E$302*E224+'Adjust'!$F$302*F224)+10*('Adjust'!$B$302*B224+'Adjust'!$C$302*C224+'Adjust'!$D$302*D224+'Adjust'!$G$302*G224)</f>
        <v>0</v>
      </c>
      <c r="I224" s="10"/>
    </row>
    <row r="226" spans="1:3">
      <c r="A226" s="1" t="s">
        <v>1684</v>
      </c>
    </row>
    <row r="227" spans="1:3">
      <c r="A227" s="2" t="s">
        <v>349</v>
      </c>
    </row>
    <row r="228" spans="1:3">
      <c r="A228" s="12" t="s">
        <v>1685</v>
      </c>
    </row>
    <row r="229" spans="1:3">
      <c r="A229" s="2" t="s">
        <v>827</v>
      </c>
    </row>
    <row r="231" spans="1:3">
      <c r="B231" s="3" t="s">
        <v>1686</v>
      </c>
    </row>
    <row r="232" spans="1:3">
      <c r="A232" s="11" t="s">
        <v>228</v>
      </c>
      <c r="B232" s="37">
        <f>H$138</f>
        <v>0</v>
      </c>
      <c r="C232" s="10"/>
    </row>
    <row r="233" spans="1:3">
      <c r="A233" s="11" t="s">
        <v>231</v>
      </c>
      <c r="B233" s="37">
        <f>H$142</f>
        <v>0</v>
      </c>
      <c r="C233" s="10"/>
    </row>
    <row r="234" spans="1:3">
      <c r="A234" s="11" t="s">
        <v>234</v>
      </c>
      <c r="B234" s="37">
        <f>H$146</f>
        <v>0</v>
      </c>
      <c r="C234" s="10"/>
    </row>
    <row r="235" spans="1:3">
      <c r="A235" s="11" t="s">
        <v>237</v>
      </c>
      <c r="B235" s="37">
        <f>H$150</f>
        <v>0</v>
      </c>
      <c r="C235" s="10"/>
    </row>
    <row r="236" spans="1:3">
      <c r="A236" s="11" t="s">
        <v>240</v>
      </c>
      <c r="B236" s="37">
        <f>H$154</f>
        <v>0</v>
      </c>
      <c r="C236" s="10"/>
    </row>
    <row r="237" spans="1:3">
      <c r="A237" s="11" t="s">
        <v>243</v>
      </c>
      <c r="B237" s="37">
        <f>H$158</f>
        <v>0</v>
      </c>
      <c r="C237" s="10"/>
    </row>
    <row r="238" spans="1:3">
      <c r="A238" s="11" t="s">
        <v>246</v>
      </c>
      <c r="B238" s="37">
        <f>H$162</f>
        <v>0</v>
      </c>
      <c r="C238" s="10"/>
    </row>
    <row r="239" spans="1:3">
      <c r="A239" s="11" t="s">
        <v>251</v>
      </c>
      <c r="B239" s="37">
        <f>H$170</f>
        <v>0</v>
      </c>
      <c r="C239" s="10"/>
    </row>
    <row r="240" spans="1:3">
      <c r="A240" s="11" t="s">
        <v>1687</v>
      </c>
      <c r="B240" s="9"/>
      <c r="C240" s="10"/>
    </row>
    <row r="241" spans="1:3">
      <c r="A241" s="11" t="s">
        <v>1687</v>
      </c>
      <c r="B241" s="9"/>
      <c r="C241" s="10"/>
    </row>
    <row r="242" spans="1:3">
      <c r="A242" s="11" t="s">
        <v>258</v>
      </c>
      <c r="B242" s="37">
        <f>H$180</f>
        <v>0</v>
      </c>
      <c r="C242" s="10"/>
    </row>
    <row r="243" spans="1:3">
      <c r="A243" s="11" t="s">
        <v>261</v>
      </c>
      <c r="B243" s="37">
        <f>H$184</f>
        <v>0</v>
      </c>
      <c r="C243" s="10"/>
    </row>
    <row r="244" spans="1:3">
      <c r="A244" s="11" t="s">
        <v>264</v>
      </c>
      <c r="B244" s="37">
        <f>H$188</f>
        <v>0</v>
      </c>
      <c r="C244" s="10"/>
    </row>
    <row r="245" spans="1:3">
      <c r="A245" s="11" t="s">
        <v>267</v>
      </c>
      <c r="B245" s="37">
        <f>H$192</f>
        <v>0</v>
      </c>
      <c r="C245" s="10"/>
    </row>
    <row r="246" spans="1:3">
      <c r="A246" s="11" t="s">
        <v>270</v>
      </c>
      <c r="B246" s="37">
        <f>H$196</f>
        <v>0</v>
      </c>
      <c r="C246" s="10"/>
    </row>
    <row r="247" spans="1:3">
      <c r="A247" s="11" t="s">
        <v>273</v>
      </c>
      <c r="B247" s="37">
        <f>H$200</f>
        <v>0</v>
      </c>
      <c r="C247" s="10"/>
    </row>
    <row r="248" spans="1:3">
      <c r="A248" s="11" t="s">
        <v>1687</v>
      </c>
      <c r="B248" s="9"/>
      <c r="C248" s="10"/>
    </row>
    <row r="249" spans="1:3">
      <c r="A249" s="11" t="s">
        <v>278</v>
      </c>
      <c r="B249" s="37">
        <f>H$207</f>
        <v>0</v>
      </c>
      <c r="C249" s="10"/>
    </row>
    <row r="250" spans="1:3">
      <c r="A250" s="11" t="s">
        <v>281</v>
      </c>
      <c r="B250" s="37">
        <f>H$211</f>
        <v>0</v>
      </c>
      <c r="C250" s="10"/>
    </row>
    <row r="251" spans="1:3">
      <c r="A251" s="11" t="s">
        <v>1687</v>
      </c>
      <c r="B251" s="9"/>
      <c r="C251" s="10"/>
    </row>
    <row r="252" spans="1:3">
      <c r="A252" s="11" t="s">
        <v>1687</v>
      </c>
      <c r="B252" s="9"/>
      <c r="C252" s="10"/>
    </row>
    <row r="253" spans="1:3">
      <c r="A253" s="11" t="s">
        <v>1687</v>
      </c>
      <c r="B253" s="9"/>
      <c r="C253" s="10"/>
    </row>
    <row r="254" spans="1:3">
      <c r="A254" s="11" t="s">
        <v>1687</v>
      </c>
      <c r="B254" s="9"/>
      <c r="C254" s="10"/>
    </row>
    <row r="256" spans="1:3">
      <c r="A256" s="1" t="s">
        <v>1688</v>
      </c>
    </row>
    <row r="257" spans="1:3">
      <c r="A257" s="2" t="s">
        <v>349</v>
      </c>
    </row>
    <row r="258" spans="1:3">
      <c r="A258" s="12" t="s">
        <v>1685</v>
      </c>
    </row>
    <row r="259" spans="1:3">
      <c r="A259" s="2" t="s">
        <v>827</v>
      </c>
    </row>
    <row r="261" spans="1:3">
      <c r="B261" s="3" t="s">
        <v>1689</v>
      </c>
    </row>
    <row r="262" spans="1:3">
      <c r="A262" s="11" t="s">
        <v>229</v>
      </c>
      <c r="B262" s="37">
        <f>H$139</f>
        <v>0</v>
      </c>
      <c r="C262" s="10"/>
    </row>
    <row r="263" spans="1:3">
      <c r="A263" s="11" t="s">
        <v>232</v>
      </c>
      <c r="B263" s="37">
        <f>H$143</f>
        <v>0</v>
      </c>
      <c r="C263" s="10"/>
    </row>
    <row r="264" spans="1:3">
      <c r="A264" s="11" t="s">
        <v>235</v>
      </c>
      <c r="B264" s="37">
        <f>H$147</f>
        <v>0</v>
      </c>
      <c r="C264" s="10"/>
    </row>
    <row r="265" spans="1:3">
      <c r="A265" s="11" t="s">
        <v>238</v>
      </c>
      <c r="B265" s="37">
        <f>H$151</f>
        <v>0</v>
      </c>
      <c r="C265" s="10"/>
    </row>
    <row r="266" spans="1:3">
      <c r="A266" s="11" t="s">
        <v>241</v>
      </c>
      <c r="B266" s="37">
        <f>H$155</f>
        <v>0</v>
      </c>
      <c r="C266" s="10"/>
    </row>
    <row r="267" spans="1:3">
      <c r="A267" s="11" t="s">
        <v>244</v>
      </c>
      <c r="B267" s="37">
        <f>H$159</f>
        <v>0</v>
      </c>
      <c r="C267" s="10"/>
    </row>
    <row r="268" spans="1:3">
      <c r="A268" s="11" t="s">
        <v>247</v>
      </c>
      <c r="B268" s="37">
        <f>H$163</f>
        <v>0</v>
      </c>
      <c r="C268" s="10"/>
    </row>
    <row r="269" spans="1:3">
      <c r="A269" s="11" t="s">
        <v>252</v>
      </c>
      <c r="B269" s="37">
        <f>H$171</f>
        <v>0</v>
      </c>
      <c r="C269" s="10"/>
    </row>
    <row r="270" spans="1:3">
      <c r="A270" s="11" t="s">
        <v>254</v>
      </c>
      <c r="B270" s="37">
        <f>H$174</f>
        <v>0</v>
      </c>
      <c r="C270" s="10"/>
    </row>
    <row r="271" spans="1:3">
      <c r="A271" s="11" t="s">
        <v>256</v>
      </c>
      <c r="B271" s="37">
        <f>H$177</f>
        <v>0</v>
      </c>
      <c r="C271" s="10"/>
    </row>
    <row r="272" spans="1:3">
      <c r="A272" s="11" t="s">
        <v>259</v>
      </c>
      <c r="B272" s="37">
        <f>H$181</f>
        <v>0</v>
      </c>
      <c r="C272" s="10"/>
    </row>
    <row r="273" spans="1:3">
      <c r="A273" s="11" t="s">
        <v>262</v>
      </c>
      <c r="B273" s="37">
        <f>H$185</f>
        <v>0</v>
      </c>
      <c r="C273" s="10"/>
    </row>
    <row r="274" spans="1:3">
      <c r="A274" s="11" t="s">
        <v>265</v>
      </c>
      <c r="B274" s="37">
        <f>H$189</f>
        <v>0</v>
      </c>
      <c r="C274" s="10"/>
    </row>
    <row r="275" spans="1:3">
      <c r="A275" s="11" t="s">
        <v>268</v>
      </c>
      <c r="B275" s="37">
        <f>H$193</f>
        <v>0</v>
      </c>
      <c r="C275" s="10"/>
    </row>
    <row r="276" spans="1:3">
      <c r="A276" s="11" t="s">
        <v>271</v>
      </c>
      <c r="B276" s="37">
        <f>H$197</f>
        <v>0</v>
      </c>
      <c r="C276" s="10"/>
    </row>
    <row r="277" spans="1:3">
      <c r="A277" s="11" t="s">
        <v>274</v>
      </c>
      <c r="B277" s="37">
        <f>H$201</f>
        <v>0</v>
      </c>
      <c r="C277" s="10"/>
    </row>
    <row r="278" spans="1:3">
      <c r="A278" s="11" t="s">
        <v>276</v>
      </c>
      <c r="B278" s="37">
        <f>H$204</f>
        <v>0</v>
      </c>
      <c r="C278" s="10"/>
    </row>
    <row r="279" spans="1:3">
      <c r="A279" s="11" t="s">
        <v>279</v>
      </c>
      <c r="B279" s="37">
        <f>H$208</f>
        <v>0</v>
      </c>
      <c r="C279" s="10"/>
    </row>
    <row r="280" spans="1:3">
      <c r="A280" s="11" t="s">
        <v>282</v>
      </c>
      <c r="B280" s="37">
        <f>H$212</f>
        <v>0</v>
      </c>
      <c r="C280" s="10"/>
    </row>
    <row r="281" spans="1:3">
      <c r="A281" s="11" t="s">
        <v>284</v>
      </c>
      <c r="B281" s="37">
        <f>H$215</f>
        <v>0</v>
      </c>
      <c r="C281" s="10"/>
    </row>
    <row r="282" spans="1:3">
      <c r="A282" s="11" t="s">
        <v>286</v>
      </c>
      <c r="B282" s="37">
        <f>H$218</f>
        <v>0</v>
      </c>
      <c r="C282" s="10"/>
    </row>
    <row r="283" spans="1:3">
      <c r="A283" s="11" t="s">
        <v>288</v>
      </c>
      <c r="B283" s="37">
        <f>H$221</f>
        <v>0</v>
      </c>
      <c r="C283" s="10"/>
    </row>
    <row r="284" spans="1:3">
      <c r="A284" s="11" t="s">
        <v>290</v>
      </c>
      <c r="B284" s="37">
        <f>H$224</f>
        <v>0</v>
      </c>
      <c r="C284" s="10"/>
    </row>
  </sheetData>
  <sheetProtection sheet="1" objects="1" scenarios="1"/>
  <hyperlinks>
    <hyperlink ref="A6" location="'Input'!B360" display="x1 = 1201. Current revenues if known (£) (in Current tariff information)"/>
    <hyperlink ref="A7" location="'Input'!F57" display="x2 = 1010. Days in the charging year (in Financial and general assumptions)"/>
    <hyperlink ref="A8" location="'Input'!F360" display="x3 = 1201. Current Fixed charge p/MPAN/day (in Current tariff information)"/>
    <hyperlink ref="A9" location="'Input'!E181" display="x4 = 1053. MPANs by tariff (in Volume forecasts for the charging year)"/>
    <hyperlink ref="A10" location="'Input'!G360" display="x5 = 1201. Current Capacity charge p/kVA/day (in Current tariff information)"/>
    <hyperlink ref="A11" location="'Input'!F181" display="x6 = 1053. Import capacity (kVA) by tariff (in Volume forecasts for the charging year)"/>
    <hyperlink ref="A12" location="'Input'!C360" display="x7 = 1201. Current Unit rate 1 p/kWh (in Current tariff information)"/>
    <hyperlink ref="A13" location="'Input'!B181" display="x8 = 1053. Rate 1 units (MWh) by tariff (in Volume forecasts for the charging year)"/>
    <hyperlink ref="A14" location="'Input'!D360" display="x9 = 1201. Current Unit rate 2 p/kWh (in Current tariff information)"/>
    <hyperlink ref="A15" location="'Input'!C181" display="x10 = 1053. Rate 2 units (MWh) by tariff (in Volume forecasts for the charging year)"/>
    <hyperlink ref="A16" location="'Input'!E360" display="x11 = 1201. Current Unit rate 3 p/kWh (in Current tariff information)"/>
    <hyperlink ref="A17" location="'Input'!D181" display="x12 = 1053. Rate 3 units (MWh) by tariff (in Volume forecasts for the charging year)"/>
    <hyperlink ref="A18" location="'Input'!H360" display="x13 = 1201. Current Reactive power charge p/kVArh (in Current tariff information)"/>
    <hyperlink ref="A19" location="'Input'!G181" display="x14 = 1053. Reactive power units (MVArh) by tariff (in Volume forecasts for the charging year)"/>
    <hyperlink ref="A43" location="'Input'!B181" display="x1 = 1053. Rate 1 units (MWh) by tariff (in Volume forecasts for the charging year)"/>
    <hyperlink ref="A44" location="'Input'!C181" display="x2 = 1053. Rate 2 units (MWh) by tariff (in Volume forecasts for the charging year)"/>
    <hyperlink ref="A45" location="'Input'!D181" display="x3 = 1053. Rate 3 units (MWh) by tariff (in Volume forecasts for the charging year)"/>
    <hyperlink ref="A46" location="'Input'!E181" display="x4 = 1053. MPANs by tariff (in Volume forecasts for the charging year)"/>
    <hyperlink ref="A47" location="'Input'!F181" display="x5 = 1053. Import capacity (kVA) by tariff (in Volume forecasts for the charging year)"/>
    <hyperlink ref="A48" location="'Input'!G181" display="x6 = 1053. Reactive power units (MVArh) by tariff (in Volume forecasts for the charging year)"/>
    <hyperlink ref="A49" location="'Summary'!B53" display="x7 = 3802. All units (MWh) (in Revenue summary)"/>
    <hyperlink ref="A111" location="'CData'!B53" display="x1 = 4002. Rate 1 units (MWh) by tariff (in Volume forecasts for the charging year) (in All-the-way volumes)"/>
    <hyperlink ref="A112" location="'CData'!B82" display="x2 = 4003. Normalised to"/>
    <hyperlink ref="A113" location="'CData'!F53" display="x3 = 4002. Import capacity (kVA) by tariff (in Volume forecasts for the charging year) (in All-the-way volumes)"/>
    <hyperlink ref="A114" location="'CData'!E53" display="x4 = 4002. MPANs by tariff (in Volume forecasts for the charging year) (in All-the-way volumes)"/>
    <hyperlink ref="A115" location="'CData'!H53" display="x5 = 4002. All units (MWh) (in Revenue summary) (in All-the-way volumes)"/>
    <hyperlink ref="A116" location="'CData'!C53" display="x6 = 4002. Rate 2 units (MWh) by tariff (in Volume forecasts for the charging year) (in All-the-way volumes)"/>
    <hyperlink ref="A117" location="'CData'!D53" display="x7 = 4002. Rate 3 units (MWh) by tariff (in Volume forecasts for the charging year) (in All-the-way volumes)"/>
    <hyperlink ref="A118" location="'CData'!G53" display="x8 = 4002. Reactive power units (MVArh) by tariff (in Volume forecasts for the charging year) (in All-the-way volumes)"/>
    <hyperlink ref="A119" location="'Input'!F57" display="x9 = 1010. Days in the charging year (in Financial and general assumptions)"/>
    <hyperlink ref="A120" location="'Adjust'!E213" display="x10 = 3607. Fixed charge p/MPAN/day (in Tariffs)"/>
    <hyperlink ref="A121" location="'CData'!E135" display="x11 = Normalised MPANs (in Normalised volumes for comparisons)"/>
    <hyperlink ref="A122" location="'Adjust'!F213" display="x12 = 3607. Capacity charge p/kVA/day (in Tariffs)"/>
    <hyperlink ref="A123" location="'CData'!F135" display="x13 = Normalised Import capacity (kVA) (in Normalised volumes for comparisons)"/>
    <hyperlink ref="A124" location="'Adjust'!B213" display="x14 = 3607. Unit rate 1 p/kWh (in Tariffs)"/>
    <hyperlink ref="A125" location="'CData'!B135" display="x15 = Normalised Rate 1 units (MWh) (in Normalised volumes for comparisons)"/>
    <hyperlink ref="A126" location="'Adjust'!C213" display="x16 = 3607. Unit rate 2 p/kWh (in Tariffs)"/>
    <hyperlink ref="A127" location="'CData'!C135" display="x17 = Normalised Rate 2 units (MWh) (in Normalised volumes for comparisons)"/>
    <hyperlink ref="A128" location="'Adjust'!D213" display="x18 = 3607. Unit rate 3 p/kWh (in Tariffs)"/>
    <hyperlink ref="A129" location="'CData'!D135" display="x19 = Normalised Rate 3 units (MWh) (in Normalised volumes for comparisons)"/>
    <hyperlink ref="A130" location="'Adjust'!G213" display="x20 = 3607. Reactive power charge p/kVArh (in Tariffs)"/>
    <hyperlink ref="A131" location="'CData'!G135" display="x21 = Normalised Reactive power units (MVArh) (in Normalised volumes for comparisons)"/>
    <hyperlink ref="A228" location="'CData'!H135" display="x1 = 4004. Normalised revenues (£) (in Normalised volumes for comparisons)"/>
    <hyperlink ref="A258" location="'CData'!H135" display="x1 = 4004. Normalised revenues (£) (in Normalised volumes for comparisons)"/>
  </hyperlink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16.7109375" customWidth="1"/>
  </cols>
  <sheetData>
    <row r="1" spans="1:5">
      <c r="A1" s="1">
        <f>"Tariff comparisons"&amp;" for "&amp;'Input'!B7&amp;" in "&amp;'Input'!C7&amp;" ("&amp;'Input'!D7&amp;")"</f>
        <v>0</v>
      </c>
    </row>
    <row r="2" spans="1:5">
      <c r="A2" s="2" t="s">
        <v>1502</v>
      </c>
    </row>
    <row r="4" spans="1:5">
      <c r="A4" s="1" t="s">
        <v>1690</v>
      </c>
    </row>
    <row r="5" spans="1:5">
      <c r="A5" s="2" t="s">
        <v>349</v>
      </c>
    </row>
    <row r="6" spans="1:5">
      <c r="A6" s="12" t="s">
        <v>1691</v>
      </c>
    </row>
    <row r="7" spans="1:5">
      <c r="A7" s="12" t="s">
        <v>1692</v>
      </c>
    </row>
    <row r="8" spans="1:5">
      <c r="A8" s="12" t="s">
        <v>1693</v>
      </c>
    </row>
    <row r="9" spans="1:5">
      <c r="A9" s="12" t="s">
        <v>1523</v>
      </c>
    </row>
    <row r="10" spans="1:5">
      <c r="A10" s="26" t="s">
        <v>352</v>
      </c>
      <c r="B10" s="26" t="s">
        <v>482</v>
      </c>
      <c r="C10" s="26" t="s">
        <v>482</v>
      </c>
      <c r="D10" s="26" t="s">
        <v>411</v>
      </c>
    </row>
    <row r="11" spans="1:5">
      <c r="A11" s="26" t="s">
        <v>355</v>
      </c>
      <c r="B11" s="26" t="s">
        <v>1694</v>
      </c>
      <c r="C11" s="26" t="s">
        <v>1695</v>
      </c>
      <c r="D11" s="26" t="s">
        <v>1496</v>
      </c>
    </row>
    <row r="13" spans="1:5">
      <c r="B13" s="3" t="s">
        <v>1696</v>
      </c>
      <c r="C13" s="3" t="s">
        <v>1697</v>
      </c>
      <c r="D13" s="3" t="s">
        <v>224</v>
      </c>
    </row>
    <row r="14" spans="1:5">
      <c r="A14" s="11" t="s">
        <v>172</v>
      </c>
      <c r="B14" s="38">
        <f>IF('CData'!B23,'Summary'!D$55/'CData'!B23-1,"")</f>
        <v>0</v>
      </c>
      <c r="C14" s="39">
        <f>('Summary'!D$55-'CData'!B23)/IF('Summary'!B$55,'Summary'!B$55,1)/10</f>
        <v>0</v>
      </c>
      <c r="D14" s="33">
        <f>'Input'!E$183</f>
        <v>0</v>
      </c>
      <c r="E14" s="10"/>
    </row>
    <row r="15" spans="1:5">
      <c r="A15" s="11" t="s">
        <v>173</v>
      </c>
      <c r="B15" s="38">
        <f>IF('CData'!B24,'Summary'!D$59/'CData'!B24-1,"")</f>
        <v>0</v>
      </c>
      <c r="C15" s="39">
        <f>('Summary'!D$59-'CData'!B24)/IF('Summary'!B$59,'Summary'!B$59,1)/10</f>
        <v>0</v>
      </c>
      <c r="D15" s="33">
        <f>'Input'!E$187</f>
        <v>0</v>
      </c>
      <c r="E15" s="10"/>
    </row>
    <row r="16" spans="1:5">
      <c r="A16" s="11" t="s">
        <v>210</v>
      </c>
      <c r="B16" s="38">
        <f>IF('CData'!B25,'Summary'!D$63/'CData'!B25-1,"")</f>
        <v>0</v>
      </c>
      <c r="C16" s="39">
        <f>('Summary'!D$63-'CData'!B25)/IF('Summary'!B$63,'Summary'!B$63,1)/10</f>
        <v>0</v>
      </c>
      <c r="D16" s="33">
        <f>'Input'!E$191</f>
        <v>0</v>
      </c>
      <c r="E16" s="10"/>
    </row>
    <row r="17" spans="1:5">
      <c r="A17" s="11" t="s">
        <v>174</v>
      </c>
      <c r="B17" s="38">
        <f>IF('CData'!B26,'Summary'!D$67/'CData'!B26-1,"")</f>
        <v>0</v>
      </c>
      <c r="C17" s="39">
        <f>('Summary'!D$67-'CData'!B26)/IF('Summary'!B$67,'Summary'!B$67,1)/10</f>
        <v>0</v>
      </c>
      <c r="D17" s="33">
        <f>'Input'!E$195</f>
        <v>0</v>
      </c>
      <c r="E17" s="10"/>
    </row>
    <row r="18" spans="1:5">
      <c r="A18" s="11" t="s">
        <v>175</v>
      </c>
      <c r="B18" s="38">
        <f>IF('CData'!B27,'Summary'!D$71/'CData'!B27-1,"")</f>
        <v>0</v>
      </c>
      <c r="C18" s="39">
        <f>('Summary'!D$71-'CData'!B27)/IF('Summary'!B$71,'Summary'!B$71,1)/10</f>
        <v>0</v>
      </c>
      <c r="D18" s="33">
        <f>'Input'!E$199</f>
        <v>0</v>
      </c>
      <c r="E18" s="10"/>
    </row>
    <row r="19" spans="1:5">
      <c r="A19" s="11" t="s">
        <v>211</v>
      </c>
      <c r="B19" s="38">
        <f>IF('CData'!B28,'Summary'!D$75/'CData'!B28-1,"")</f>
        <v>0</v>
      </c>
      <c r="C19" s="39">
        <f>('Summary'!D$75-'CData'!B28)/IF('Summary'!B$75,'Summary'!B$75,1)/10</f>
        <v>0</v>
      </c>
      <c r="D19" s="33">
        <f>'Input'!E$203</f>
        <v>0</v>
      </c>
      <c r="E19" s="10"/>
    </row>
    <row r="20" spans="1:5">
      <c r="A20" s="11" t="s">
        <v>176</v>
      </c>
      <c r="B20" s="38">
        <f>IF('CData'!B29,'Summary'!D$79/'CData'!B29-1,"")</f>
        <v>0</v>
      </c>
      <c r="C20" s="39">
        <f>('Summary'!D$79-'CData'!B29)/IF('Summary'!B$79,'Summary'!B$79,1)/10</f>
        <v>0</v>
      </c>
      <c r="D20" s="33">
        <f>'Input'!E$207</f>
        <v>0</v>
      </c>
      <c r="E20" s="10"/>
    </row>
    <row r="21" spans="1:5">
      <c r="A21" s="11" t="s">
        <v>177</v>
      </c>
      <c r="B21" s="38">
        <f>IF('CData'!B30,'Summary'!D$83/'CData'!B30-1,"")</f>
        <v>0</v>
      </c>
      <c r="C21" s="39">
        <f>('Summary'!D$83-'CData'!B30)/IF('Summary'!B$83,'Summary'!B$83,1)/10</f>
        <v>0</v>
      </c>
      <c r="D21" s="33">
        <f>'Input'!E$211</f>
        <v>0</v>
      </c>
      <c r="E21" s="10"/>
    </row>
    <row r="22" spans="1:5">
      <c r="A22" s="11" t="s">
        <v>191</v>
      </c>
      <c r="B22" s="38">
        <f>IF('CData'!B31,'Summary'!D$85/'CData'!B31-1,"")</f>
        <v>0</v>
      </c>
      <c r="C22" s="39">
        <f>('Summary'!D$85-'CData'!B31)/IF('Summary'!B$85,'Summary'!B$85,1)/10</f>
        <v>0</v>
      </c>
      <c r="D22" s="33">
        <f>'Input'!E$213</f>
        <v>0</v>
      </c>
      <c r="E22" s="10"/>
    </row>
    <row r="23" spans="1:5">
      <c r="A23" s="11" t="s">
        <v>178</v>
      </c>
      <c r="B23" s="38">
        <f>IF('CData'!B32,'Summary'!D$87/'CData'!B32-1,"")</f>
        <v>0</v>
      </c>
      <c r="C23" s="39">
        <f>('Summary'!D$87-'CData'!B32)/IF('Summary'!B$87,'Summary'!B$87,1)/10</f>
        <v>0</v>
      </c>
      <c r="D23" s="33">
        <f>'Input'!E$215</f>
        <v>0</v>
      </c>
      <c r="E23" s="10"/>
    </row>
    <row r="24" spans="1:5">
      <c r="A24" s="11" t="s">
        <v>179</v>
      </c>
      <c r="B24" s="38">
        <f>IF('CData'!B33,'Summary'!D$91/'CData'!B33-1,"")</f>
        <v>0</v>
      </c>
      <c r="C24" s="39">
        <f>('Summary'!D$91-'CData'!B33)/IF('Summary'!B$91,'Summary'!B$91,1)/10</f>
        <v>0</v>
      </c>
      <c r="D24" s="33">
        <f>'Input'!E$219</f>
        <v>0</v>
      </c>
      <c r="E24" s="10"/>
    </row>
    <row r="25" spans="1:5">
      <c r="A25" s="11" t="s">
        <v>192</v>
      </c>
      <c r="B25" s="38">
        <f>IF('CData'!B34,'Summary'!D$94/'CData'!B34-1,"")</f>
        <v>0</v>
      </c>
      <c r="C25" s="39">
        <f>('Summary'!D$94-'CData'!B34)/IF('Summary'!B$94,'Summary'!B$94,1)/10</f>
        <v>0</v>
      </c>
      <c r="D25" s="33">
        <f>'Input'!E$222</f>
        <v>0</v>
      </c>
      <c r="E25" s="10"/>
    </row>
    <row r="26" spans="1:5">
      <c r="A26" s="11" t="s">
        <v>212</v>
      </c>
      <c r="B26" s="38">
        <f>IF('CData'!B35,'Summary'!D$97/'CData'!B35-1,"")</f>
        <v>0</v>
      </c>
      <c r="C26" s="39">
        <f>('Summary'!D$97-'CData'!B35)/IF('Summary'!B$97,'Summary'!B$97,1)/10</f>
        <v>0</v>
      </c>
      <c r="D26" s="33">
        <f>'Input'!E$225</f>
        <v>0</v>
      </c>
      <c r="E26" s="10"/>
    </row>
    <row r="27" spans="1:5">
      <c r="A27" s="11" t="s">
        <v>213</v>
      </c>
      <c r="B27" s="38">
        <f>IF('CData'!B36,'Summary'!D$101/'CData'!B36-1,"")</f>
        <v>0</v>
      </c>
      <c r="C27" s="39">
        <f>('Summary'!D$101-'CData'!B36)/IF('Summary'!B$101,'Summary'!B$101,1)/10</f>
        <v>0</v>
      </c>
      <c r="D27" s="33">
        <f>'Input'!E$229</f>
        <v>0</v>
      </c>
      <c r="E27" s="10"/>
    </row>
    <row r="28" spans="1:5">
      <c r="A28" s="11" t="s">
        <v>214</v>
      </c>
      <c r="B28" s="38">
        <f>IF('CData'!B37,'Summary'!D$105/'CData'!B37-1,"")</f>
        <v>0</v>
      </c>
      <c r="C28" s="39">
        <f>('Summary'!D$105-'CData'!B37)/IF('Summary'!B$105,'Summary'!B$105,1)/10</f>
        <v>0</v>
      </c>
      <c r="D28" s="33">
        <f>'Input'!E$233</f>
        <v>0</v>
      </c>
      <c r="E28" s="10"/>
    </row>
    <row r="29" spans="1:5">
      <c r="A29" s="11" t="s">
        <v>215</v>
      </c>
      <c r="B29" s="38">
        <f>IF('CData'!B38,'Summary'!D$109/'CData'!B38-1,"")</f>
        <v>0</v>
      </c>
      <c r="C29" s="39">
        <f>('Summary'!D$109-'CData'!B38)/IF('Summary'!B$109,'Summary'!B$109,1)/10</f>
        <v>0</v>
      </c>
      <c r="D29" s="33">
        <f>'Input'!E$237</f>
        <v>0</v>
      </c>
      <c r="E29" s="10"/>
    </row>
    <row r="30" spans="1:5">
      <c r="A30" s="11" t="s">
        <v>216</v>
      </c>
      <c r="B30" s="38">
        <f>IF('CData'!B39,'Summary'!D$113/'CData'!B39-1,"")</f>
        <v>0</v>
      </c>
      <c r="C30" s="39">
        <f>('Summary'!D$113-'CData'!B39)/IF('Summary'!B$113,'Summary'!B$113,1)/10</f>
        <v>0</v>
      </c>
      <c r="D30" s="33">
        <f>'Input'!E$241</f>
        <v>0</v>
      </c>
      <c r="E30" s="10"/>
    </row>
    <row r="32" spans="1:5">
      <c r="A32" s="1" t="s">
        <v>1698</v>
      </c>
    </row>
    <row r="33" spans="1:6">
      <c r="A33" s="2" t="s">
        <v>349</v>
      </c>
    </row>
    <row r="34" spans="1:6">
      <c r="A34" s="12" t="s">
        <v>1699</v>
      </c>
    </row>
    <row r="35" spans="1:6">
      <c r="A35" s="12" t="s">
        <v>1700</v>
      </c>
    </row>
    <row r="36" spans="1:6">
      <c r="A36" s="12" t="s">
        <v>1701</v>
      </c>
    </row>
    <row r="37" spans="1:6">
      <c r="A37" s="12" t="s">
        <v>1702</v>
      </c>
    </row>
    <row r="38" spans="1:6">
      <c r="A38" s="12" t="s">
        <v>1703</v>
      </c>
    </row>
    <row r="39" spans="1:6">
      <c r="A39" s="26" t="s">
        <v>352</v>
      </c>
      <c r="B39" s="26" t="s">
        <v>411</v>
      </c>
      <c r="C39" s="26" t="s">
        <v>411</v>
      </c>
      <c r="D39" s="26" t="s">
        <v>482</v>
      </c>
      <c r="E39" s="26" t="s">
        <v>482</v>
      </c>
    </row>
    <row r="40" spans="1:6">
      <c r="A40" s="26" t="s">
        <v>355</v>
      </c>
      <c r="B40" s="26" t="s">
        <v>955</v>
      </c>
      <c r="C40" s="26" t="s">
        <v>414</v>
      </c>
      <c r="D40" s="26" t="s">
        <v>1704</v>
      </c>
      <c r="E40" s="26" t="s">
        <v>1705</v>
      </c>
    </row>
    <row r="42" spans="1:6">
      <c r="B42" s="3" t="s">
        <v>1644</v>
      </c>
      <c r="C42" s="3" t="s">
        <v>1706</v>
      </c>
      <c r="D42" s="3" t="s">
        <v>1707</v>
      </c>
      <c r="E42" s="3" t="s">
        <v>1708</v>
      </c>
    </row>
    <row r="43" spans="1:6">
      <c r="A43" s="11" t="s">
        <v>172</v>
      </c>
      <c r="B43" s="5">
        <f>'CData'!B$83</f>
        <v>0</v>
      </c>
      <c r="C43" s="35">
        <f>'CData'!H$137</f>
        <v>0</v>
      </c>
      <c r="D43" s="35">
        <f>IF('CData'!B232,C43-'CData'!B232,"")</f>
        <v>0</v>
      </c>
      <c r="E43" s="35">
        <f>IF('CData'!B262,C43-'CData'!B262,"")</f>
        <v>0</v>
      </c>
      <c r="F43" s="10"/>
    </row>
    <row r="44" spans="1:6">
      <c r="A44" s="11" t="s">
        <v>173</v>
      </c>
      <c r="B44" s="5">
        <f>'CData'!B$84</f>
        <v>0</v>
      </c>
      <c r="C44" s="35">
        <f>'CData'!H$141</f>
        <v>0</v>
      </c>
      <c r="D44" s="35">
        <f>IF('CData'!B233,C44-'CData'!B233,"")</f>
        <v>0</v>
      </c>
      <c r="E44" s="35">
        <f>IF('CData'!B263,C44-'CData'!B263,"")</f>
        <v>0</v>
      </c>
      <c r="F44" s="10"/>
    </row>
    <row r="45" spans="1:6">
      <c r="A45" s="11" t="s">
        <v>210</v>
      </c>
      <c r="B45" s="5">
        <f>'CData'!B$85</f>
        <v>0</v>
      </c>
      <c r="C45" s="35">
        <f>'CData'!H$145</f>
        <v>0</v>
      </c>
      <c r="D45" s="35">
        <f>IF('CData'!B234,C45-'CData'!B234,"")</f>
        <v>0</v>
      </c>
      <c r="E45" s="35">
        <f>IF('CData'!B264,C45-'CData'!B264,"")</f>
        <v>0</v>
      </c>
      <c r="F45" s="10"/>
    </row>
    <row r="46" spans="1:6">
      <c r="A46" s="11" t="s">
        <v>174</v>
      </c>
      <c r="B46" s="5">
        <f>'CData'!B$86</f>
        <v>0</v>
      </c>
      <c r="C46" s="35">
        <f>'CData'!H$149</f>
        <v>0</v>
      </c>
      <c r="D46" s="35">
        <f>IF('CData'!B235,C46-'CData'!B235,"")</f>
        <v>0</v>
      </c>
      <c r="E46" s="35">
        <f>IF('CData'!B265,C46-'CData'!B265,"")</f>
        <v>0</v>
      </c>
      <c r="F46" s="10"/>
    </row>
    <row r="47" spans="1:6">
      <c r="A47" s="11" t="s">
        <v>175</v>
      </c>
      <c r="B47" s="5">
        <f>'CData'!B$87</f>
        <v>0</v>
      </c>
      <c r="C47" s="35">
        <f>'CData'!H$153</f>
        <v>0</v>
      </c>
      <c r="D47" s="35">
        <f>IF('CData'!B236,C47-'CData'!B236,"")</f>
        <v>0</v>
      </c>
      <c r="E47" s="35">
        <f>IF('CData'!B266,C47-'CData'!B266,"")</f>
        <v>0</v>
      </c>
      <c r="F47" s="10"/>
    </row>
    <row r="48" spans="1:6">
      <c r="A48" s="11" t="s">
        <v>211</v>
      </c>
      <c r="B48" s="5">
        <f>'CData'!B$88</f>
        <v>0</v>
      </c>
      <c r="C48" s="35">
        <f>'CData'!H$157</f>
        <v>0</v>
      </c>
      <c r="D48" s="35">
        <f>IF('CData'!B237,C48-'CData'!B237,"")</f>
        <v>0</v>
      </c>
      <c r="E48" s="35">
        <f>IF('CData'!B267,C48-'CData'!B267,"")</f>
        <v>0</v>
      </c>
      <c r="F48" s="10"/>
    </row>
    <row r="49" spans="1:6">
      <c r="A49" s="11" t="s">
        <v>176</v>
      </c>
      <c r="B49" s="5">
        <f>'CData'!B$89</f>
        <v>0</v>
      </c>
      <c r="C49" s="35">
        <f>'CData'!H$161</f>
        <v>0</v>
      </c>
      <c r="D49" s="35">
        <f>IF('CData'!B238,C49-'CData'!B238,"")</f>
        <v>0</v>
      </c>
      <c r="E49" s="35">
        <f>IF('CData'!B268,C49-'CData'!B268,"")</f>
        <v>0</v>
      </c>
      <c r="F49" s="10"/>
    </row>
    <row r="50" spans="1:6">
      <c r="A50" s="11" t="s">
        <v>178</v>
      </c>
      <c r="B50" s="5">
        <f>'CData'!B$92</f>
        <v>0</v>
      </c>
      <c r="C50" s="35">
        <f>'CData'!H$169</f>
        <v>0</v>
      </c>
      <c r="D50" s="35">
        <f>IF('CData'!B239,C50-'CData'!B239,"")</f>
        <v>0</v>
      </c>
      <c r="E50" s="35">
        <f>IF('CData'!B269,C50-'CData'!B269,"")</f>
        <v>0</v>
      </c>
      <c r="F50" s="10"/>
    </row>
    <row r="51" spans="1:6">
      <c r="A51" s="11" t="s">
        <v>179</v>
      </c>
      <c r="B51" s="5">
        <f>'CData'!B$93</f>
        <v>0</v>
      </c>
      <c r="C51" s="35">
        <f>'CData'!H$173</f>
        <v>0</v>
      </c>
      <c r="D51" s="35">
        <f>IF('CData'!B240,C51-'CData'!B240,"")</f>
        <v>0</v>
      </c>
      <c r="E51" s="35">
        <f>IF('CData'!B270,C51-'CData'!B270,"")</f>
        <v>0</v>
      </c>
      <c r="F51" s="10"/>
    </row>
    <row r="52" spans="1:6">
      <c r="A52" s="11" t="s">
        <v>192</v>
      </c>
      <c r="B52" s="5">
        <f>'CData'!B$94</f>
        <v>0</v>
      </c>
      <c r="C52" s="35">
        <f>'CData'!H$176</f>
        <v>0</v>
      </c>
      <c r="D52" s="35">
        <f>IF('CData'!B241,C52-'CData'!B241,"")</f>
        <v>0</v>
      </c>
      <c r="E52" s="35">
        <f>IF('CData'!B271,C52-'CData'!B271,"")</f>
        <v>0</v>
      </c>
      <c r="F52" s="10"/>
    </row>
    <row r="53" spans="1:6">
      <c r="A53" s="11" t="s">
        <v>212</v>
      </c>
      <c r="B53" s="5">
        <f>'CData'!B$95</f>
        <v>0</v>
      </c>
      <c r="C53" s="35">
        <f>'CData'!H$179</f>
        <v>0</v>
      </c>
      <c r="D53" s="35">
        <f>IF('CData'!B242,C53-'CData'!B242,"")</f>
        <v>0</v>
      </c>
      <c r="E53" s="35">
        <f>IF('CData'!B272,C53-'CData'!B272,"")</f>
        <v>0</v>
      </c>
      <c r="F53" s="10"/>
    </row>
    <row r="54" spans="1:6">
      <c r="A54" s="11" t="s">
        <v>213</v>
      </c>
      <c r="B54" s="5">
        <f>'CData'!B$96</f>
        <v>0</v>
      </c>
      <c r="C54" s="35">
        <f>'CData'!H$183</f>
        <v>0</v>
      </c>
      <c r="D54" s="35">
        <f>IF('CData'!B243,C54-'CData'!B243,"")</f>
        <v>0</v>
      </c>
      <c r="E54" s="35">
        <f>IF('CData'!B273,C54-'CData'!B273,"")</f>
        <v>0</v>
      </c>
      <c r="F54" s="10"/>
    </row>
    <row r="55" spans="1:6">
      <c r="A55" s="11" t="s">
        <v>214</v>
      </c>
      <c r="B55" s="5">
        <f>'CData'!B$97</f>
        <v>0</v>
      </c>
      <c r="C55" s="35">
        <f>'CData'!H$187</f>
        <v>0</v>
      </c>
      <c r="D55" s="35">
        <f>IF('CData'!B244,C55-'CData'!B244,"")</f>
        <v>0</v>
      </c>
      <c r="E55" s="35">
        <f>IF('CData'!B274,C55-'CData'!B274,"")</f>
        <v>0</v>
      </c>
      <c r="F55" s="10"/>
    </row>
    <row r="56" spans="1:6">
      <c r="A56" s="11" t="s">
        <v>215</v>
      </c>
      <c r="B56" s="5">
        <f>'CData'!B$98</f>
        <v>0</v>
      </c>
      <c r="C56" s="35">
        <f>'CData'!H$191</f>
        <v>0</v>
      </c>
      <c r="D56" s="35">
        <f>IF('CData'!B245,C56-'CData'!B245,"")</f>
        <v>0</v>
      </c>
      <c r="E56" s="35">
        <f>IF('CData'!B275,C56-'CData'!B275,"")</f>
        <v>0</v>
      </c>
      <c r="F56" s="10"/>
    </row>
    <row r="57" spans="1:6">
      <c r="A57" s="11" t="s">
        <v>216</v>
      </c>
      <c r="B57" s="5">
        <f>'CData'!B$99</f>
        <v>0</v>
      </c>
      <c r="C57" s="35">
        <f>'CData'!H$195</f>
        <v>0</v>
      </c>
      <c r="D57" s="35">
        <f>IF('CData'!B246,C57-'CData'!B246,"")</f>
        <v>0</v>
      </c>
      <c r="E57" s="35">
        <f>IF('CData'!B276,C57-'CData'!B276,"")</f>
        <v>0</v>
      </c>
      <c r="F57" s="10"/>
    </row>
    <row r="58" spans="1:6">
      <c r="A58" s="11" t="s">
        <v>180</v>
      </c>
      <c r="B58" s="5">
        <f>'CData'!B$100</f>
        <v>0</v>
      </c>
      <c r="C58" s="35">
        <f>'CData'!H$199</f>
        <v>0</v>
      </c>
      <c r="D58" s="35">
        <f>IF('CData'!B247,C58-'CData'!B247,"")</f>
        <v>0</v>
      </c>
      <c r="E58" s="35">
        <f>IF('CData'!B277,C58-'CData'!B277,"")</f>
        <v>0</v>
      </c>
      <c r="F58" s="10"/>
    </row>
    <row r="59" spans="1:6">
      <c r="A59" s="11" t="s">
        <v>181</v>
      </c>
      <c r="B59" s="5">
        <f>'CData'!B$101</f>
        <v>0</v>
      </c>
      <c r="C59" s="35">
        <f>'CData'!H$203</f>
        <v>0</v>
      </c>
      <c r="D59" s="35">
        <f>IF('CData'!B248,C59-'CData'!B248,"")</f>
        <v>0</v>
      </c>
      <c r="E59" s="35">
        <f>IF('CData'!B278,C59-'CData'!B278,"")</f>
        <v>0</v>
      </c>
      <c r="F59" s="10"/>
    </row>
    <row r="60" spans="1:6">
      <c r="A60" s="11" t="s">
        <v>182</v>
      </c>
      <c r="B60" s="5">
        <f>'CData'!B$102</f>
        <v>0</v>
      </c>
      <c r="C60" s="35">
        <f>'CData'!H$206</f>
        <v>0</v>
      </c>
      <c r="D60" s="35">
        <f>IF('CData'!B249,C60-'CData'!B249,"")</f>
        <v>0</v>
      </c>
      <c r="E60" s="35">
        <f>IF('CData'!B279,C60-'CData'!B279,"")</f>
        <v>0</v>
      </c>
      <c r="F60" s="10"/>
    </row>
    <row r="61" spans="1:6">
      <c r="A61" s="11" t="s">
        <v>183</v>
      </c>
      <c r="B61" s="5">
        <f>'CData'!B$103</f>
        <v>0</v>
      </c>
      <c r="C61" s="35">
        <f>'CData'!H$210</f>
        <v>0</v>
      </c>
      <c r="D61" s="35">
        <f>IF('CData'!B250,C61-'CData'!B250,"")</f>
        <v>0</v>
      </c>
      <c r="E61" s="35">
        <f>IF('CData'!B280,C61-'CData'!B280,"")</f>
        <v>0</v>
      </c>
      <c r="F61" s="10"/>
    </row>
    <row r="62" spans="1:6">
      <c r="A62" s="11" t="s">
        <v>184</v>
      </c>
      <c r="B62" s="5">
        <f>'CData'!B$104</f>
        <v>0</v>
      </c>
      <c r="C62" s="35">
        <f>'CData'!H$214</f>
        <v>0</v>
      </c>
      <c r="D62" s="35">
        <f>IF('CData'!B251,C62-'CData'!B251,"")</f>
        <v>0</v>
      </c>
      <c r="E62" s="35">
        <f>IF('CData'!B281,C62-'CData'!B281,"")</f>
        <v>0</v>
      </c>
      <c r="F62" s="10"/>
    </row>
    <row r="63" spans="1:6">
      <c r="A63" s="11" t="s">
        <v>185</v>
      </c>
      <c r="B63" s="5">
        <f>'CData'!B$105</f>
        <v>0</v>
      </c>
      <c r="C63" s="35">
        <f>'CData'!H$217</f>
        <v>0</v>
      </c>
      <c r="D63" s="35">
        <f>IF('CData'!B252,C63-'CData'!B252,"")</f>
        <v>0</v>
      </c>
      <c r="E63" s="35">
        <f>IF('CData'!B282,C63-'CData'!B282,"")</f>
        <v>0</v>
      </c>
      <c r="F63" s="10"/>
    </row>
    <row r="64" spans="1:6">
      <c r="A64" s="11" t="s">
        <v>193</v>
      </c>
      <c r="B64" s="5">
        <f>'CData'!B$106</f>
        <v>0</v>
      </c>
      <c r="C64" s="35">
        <f>'CData'!H$220</f>
        <v>0</v>
      </c>
      <c r="D64" s="35">
        <f>IF('CData'!B253,C64-'CData'!B253,"")</f>
        <v>0</v>
      </c>
      <c r="E64" s="35">
        <f>IF('CData'!B283,C64-'CData'!B283,"")</f>
        <v>0</v>
      </c>
      <c r="F64" s="10"/>
    </row>
    <row r="65" spans="1:6">
      <c r="A65" s="11" t="s">
        <v>194</v>
      </c>
      <c r="B65" s="5">
        <f>'CData'!B$107</f>
        <v>0</v>
      </c>
      <c r="C65" s="35">
        <f>'CData'!H$223</f>
        <v>0</v>
      </c>
      <c r="D65" s="35">
        <f>IF('CData'!B254,C65-'CData'!B254,"")</f>
        <v>0</v>
      </c>
      <c r="E65" s="35">
        <f>IF('CData'!B284,C65-'CData'!B284,"")</f>
        <v>0</v>
      </c>
      <c r="F65" s="10"/>
    </row>
  </sheetData>
  <sheetProtection sheet="1" objects="1" scenarios="1"/>
  <hyperlinks>
    <hyperlink ref="A6" location="'CData'!B22" display="x1 = 4001. Revenues under current tariffs (£)"/>
    <hyperlink ref="A7" location="'Summary'!D53" display="x2 = 3802. Net revenues (£) (in Revenue summary)"/>
    <hyperlink ref="A8" location="'Summary'!B53" display="x3 = 3802. All units (MWh) (in Revenue summary)"/>
    <hyperlink ref="A9" location="'Input'!E181" display="x4 = 1053. MPANs by tariff (in Volume forecasts for the charging year)"/>
    <hyperlink ref="A34" location="'CData'!B82" display="x1 = 4003. Normalised to"/>
    <hyperlink ref="A35" location="'CData'!H135" display="x2 = 4004. Normalised revenues (£) (in Normalised volumes for comparisons)"/>
    <hyperlink ref="A36" location="'CData'!B231" display="x3 = 4005. LDNO LV charges (normalised £)"/>
    <hyperlink ref="A37" location="'CTables'!C42" display="x4 = All-the-way charges (normalised £) (in LDNO margins in use of system charges)"/>
    <hyperlink ref="A38" location="'CData'!B261" display="x5 = 4006. LDNO HV charges (normalised £)"/>
  </hyperlink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0">
      <c r="A1" s="1">
        <f>"Loss adjustment factors and network use matrices"&amp;" for "&amp;'Input'!B7&amp;" in "&amp;'Input'!C7&amp;" ("&amp;'Input'!D7&amp;")"</f>
        <v>0</v>
      </c>
    </row>
    <row r="2" spans="1:10">
      <c r="A2" s="2" t="s">
        <v>346</v>
      </c>
    </row>
    <row r="3" spans="1:10">
      <c r="A3" s="2" t="s">
        <v>347</v>
      </c>
    </row>
    <row r="5" spans="1:10">
      <c r="A5" s="1" t="s">
        <v>348</v>
      </c>
    </row>
    <row r="6" spans="1:10">
      <c r="A6" s="2" t="s">
        <v>349</v>
      </c>
    </row>
    <row r="7" spans="1:10">
      <c r="A7" s="12" t="s">
        <v>350</v>
      </c>
    </row>
    <row r="8" spans="1:10">
      <c r="A8" s="12" t="s">
        <v>351</v>
      </c>
    </row>
    <row r="9" spans="1:10">
      <c r="A9" s="26" t="s">
        <v>352</v>
      </c>
      <c r="B9" s="2" t="s">
        <v>353</v>
      </c>
      <c r="C9" s="2"/>
      <c r="D9" s="2"/>
      <c r="E9" s="2"/>
      <c r="F9" s="2"/>
      <c r="G9" s="2"/>
      <c r="H9" s="2"/>
      <c r="I9" s="26" t="s">
        <v>354</v>
      </c>
    </row>
    <row r="10" spans="1:10">
      <c r="A10" s="26" t="s">
        <v>355</v>
      </c>
      <c r="B10" s="2" t="s">
        <v>356</v>
      </c>
      <c r="C10" s="2"/>
      <c r="D10" s="2"/>
      <c r="E10" s="2"/>
      <c r="F10" s="2"/>
      <c r="G10" s="2"/>
      <c r="H10" s="2"/>
      <c r="I10" s="26" t="s">
        <v>357</v>
      </c>
    </row>
    <row r="12" spans="1:10">
      <c r="B12" s="27" t="s">
        <v>358</v>
      </c>
      <c r="C12" s="27"/>
      <c r="D12" s="27"/>
      <c r="E12" s="27"/>
      <c r="F12" s="27"/>
      <c r="G12" s="27"/>
      <c r="H12" s="27"/>
    </row>
    <row r="13" spans="1:10">
      <c r="B13" s="3" t="s">
        <v>141</v>
      </c>
      <c r="C13" s="3" t="s">
        <v>142</v>
      </c>
      <c r="D13" s="3" t="s">
        <v>143</v>
      </c>
      <c r="E13" s="3" t="s">
        <v>144</v>
      </c>
      <c r="F13" s="3" t="s">
        <v>145</v>
      </c>
      <c r="G13" s="3" t="s">
        <v>146</v>
      </c>
      <c r="H13" s="3" t="s">
        <v>147</v>
      </c>
      <c r="I13" s="3" t="s">
        <v>197</v>
      </c>
    </row>
    <row r="14" spans="1:10">
      <c r="A14" s="11" t="s">
        <v>172</v>
      </c>
      <c r="B14" s="28">
        <v>0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1</v>
      </c>
      <c r="I14" s="6">
        <f>SUMPRODUCT($B14:$H14,'Input'!$B$146:$H$146)</f>
        <v>0</v>
      </c>
      <c r="J14" s="10"/>
    </row>
    <row r="15" spans="1:10">
      <c r="A15" s="11" t="s">
        <v>173</v>
      </c>
      <c r="B15" s="28">
        <v>0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1</v>
      </c>
      <c r="I15" s="6">
        <f>SUMPRODUCT($B15:$H15,'Input'!$B$146:$H$146)</f>
        <v>0</v>
      </c>
      <c r="J15" s="10"/>
    </row>
    <row r="16" spans="1:10">
      <c r="A16" s="11" t="s">
        <v>210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1</v>
      </c>
      <c r="I16" s="6">
        <f>SUMPRODUCT($B16:$H16,'Input'!$B$146:$H$146)</f>
        <v>0</v>
      </c>
      <c r="J16" s="10"/>
    </row>
    <row r="17" spans="1:10">
      <c r="A17" s="11" t="s">
        <v>174</v>
      </c>
      <c r="B17" s="28">
        <v>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1</v>
      </c>
      <c r="I17" s="6">
        <f>SUMPRODUCT($B17:$H17,'Input'!$B$146:$H$146)</f>
        <v>0</v>
      </c>
      <c r="J17" s="10"/>
    </row>
    <row r="18" spans="1:10">
      <c r="A18" s="11" t="s">
        <v>175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1</v>
      </c>
      <c r="I18" s="6">
        <f>SUMPRODUCT($B18:$H18,'Input'!$B$146:$H$146)</f>
        <v>0</v>
      </c>
      <c r="J18" s="10"/>
    </row>
    <row r="19" spans="1:10">
      <c r="A19" s="11" t="s">
        <v>211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1</v>
      </c>
      <c r="I19" s="6">
        <f>SUMPRODUCT($B19:$H19,'Input'!$B$146:$H$146)</f>
        <v>0</v>
      </c>
      <c r="J19" s="10"/>
    </row>
    <row r="20" spans="1:10">
      <c r="A20" s="11" t="s">
        <v>176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1</v>
      </c>
      <c r="I20" s="6">
        <f>SUMPRODUCT($B20:$H20,'Input'!$B$146:$H$146)</f>
        <v>0</v>
      </c>
      <c r="J20" s="10"/>
    </row>
    <row r="21" spans="1:10">
      <c r="A21" s="11" t="s">
        <v>177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28">
        <v>1</v>
      </c>
      <c r="H21" s="28">
        <v>0</v>
      </c>
      <c r="I21" s="6">
        <f>SUMPRODUCT($B21:$H21,'Input'!$B$146:$H$146)</f>
        <v>0</v>
      </c>
      <c r="J21" s="10"/>
    </row>
    <row r="22" spans="1:10">
      <c r="A22" s="11" t="s">
        <v>191</v>
      </c>
      <c r="B22" s="28">
        <v>0</v>
      </c>
      <c r="C22" s="28">
        <v>0</v>
      </c>
      <c r="D22" s="28">
        <v>0</v>
      </c>
      <c r="E22" s="28">
        <v>0</v>
      </c>
      <c r="F22" s="28">
        <v>1</v>
      </c>
      <c r="G22" s="28">
        <v>0</v>
      </c>
      <c r="H22" s="28">
        <v>0</v>
      </c>
      <c r="I22" s="6">
        <f>SUMPRODUCT($B22:$H22,'Input'!$B$146:$H$146)</f>
        <v>0</v>
      </c>
      <c r="J22" s="10"/>
    </row>
    <row r="23" spans="1:10">
      <c r="A23" s="11" t="s">
        <v>178</v>
      </c>
      <c r="B23" s="28">
        <v>0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1</v>
      </c>
      <c r="I23" s="6">
        <f>SUMPRODUCT($B23:$H23,'Input'!$B$146:$H$146)</f>
        <v>0</v>
      </c>
      <c r="J23" s="10"/>
    </row>
    <row r="24" spans="1:10">
      <c r="A24" s="11" t="s">
        <v>179</v>
      </c>
      <c r="B24" s="28">
        <v>0</v>
      </c>
      <c r="C24" s="28">
        <v>0</v>
      </c>
      <c r="D24" s="28">
        <v>0</v>
      </c>
      <c r="E24" s="28">
        <v>0</v>
      </c>
      <c r="F24" s="28">
        <v>0</v>
      </c>
      <c r="G24" s="28">
        <v>1</v>
      </c>
      <c r="H24" s="28">
        <v>0</v>
      </c>
      <c r="I24" s="6">
        <f>SUMPRODUCT($B24:$H24,'Input'!$B$146:$H$146)</f>
        <v>0</v>
      </c>
      <c r="J24" s="10"/>
    </row>
    <row r="25" spans="1:10">
      <c r="A25" s="11" t="s">
        <v>192</v>
      </c>
      <c r="B25" s="28">
        <v>0</v>
      </c>
      <c r="C25" s="28">
        <v>0</v>
      </c>
      <c r="D25" s="28">
        <v>0</v>
      </c>
      <c r="E25" s="28">
        <v>0</v>
      </c>
      <c r="F25" s="28">
        <v>1</v>
      </c>
      <c r="G25" s="28">
        <v>0</v>
      </c>
      <c r="H25" s="28">
        <v>0</v>
      </c>
      <c r="I25" s="6">
        <f>SUMPRODUCT($B25:$H25,'Input'!$B$146:$H$146)</f>
        <v>0</v>
      </c>
      <c r="J25" s="10"/>
    </row>
    <row r="26" spans="1:10">
      <c r="A26" s="11" t="s">
        <v>212</v>
      </c>
      <c r="B26" s="28">
        <v>0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1</v>
      </c>
      <c r="I26" s="6">
        <f>SUMPRODUCT($B26:$H26,'Input'!$B$146:$H$146)</f>
        <v>0</v>
      </c>
      <c r="J26" s="10"/>
    </row>
    <row r="27" spans="1:10">
      <c r="A27" s="11" t="s">
        <v>213</v>
      </c>
      <c r="B27" s="28">
        <v>0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1</v>
      </c>
      <c r="I27" s="6">
        <f>SUMPRODUCT($B27:$H27,'Input'!$B$146:$H$146)</f>
        <v>0</v>
      </c>
      <c r="J27" s="10"/>
    </row>
    <row r="28" spans="1:10">
      <c r="A28" s="11" t="s">
        <v>214</v>
      </c>
      <c r="B28" s="28">
        <v>0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1</v>
      </c>
      <c r="I28" s="6">
        <f>SUMPRODUCT($B28:$H28,'Input'!$B$146:$H$146)</f>
        <v>0</v>
      </c>
      <c r="J28" s="10"/>
    </row>
    <row r="29" spans="1:10">
      <c r="A29" s="11" t="s">
        <v>215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1</v>
      </c>
      <c r="I29" s="6">
        <f>SUMPRODUCT($B29:$H29,'Input'!$B$146:$H$146)</f>
        <v>0</v>
      </c>
      <c r="J29" s="10"/>
    </row>
    <row r="30" spans="1:10">
      <c r="A30" s="11" t="s">
        <v>216</v>
      </c>
      <c r="B30" s="28">
        <v>0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1</v>
      </c>
      <c r="I30" s="6">
        <f>SUMPRODUCT($B30:$H30,'Input'!$B$146:$H$146)</f>
        <v>0</v>
      </c>
      <c r="J30" s="10"/>
    </row>
    <row r="31" spans="1:10">
      <c r="A31" s="11" t="s">
        <v>180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1</v>
      </c>
      <c r="I31" s="6">
        <f>SUMPRODUCT($B31:$H31,'Input'!$B$146:$H$146)</f>
        <v>0</v>
      </c>
      <c r="J31" s="10"/>
    </row>
    <row r="32" spans="1:10">
      <c r="A32" s="11" t="s">
        <v>181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28">
        <v>1</v>
      </c>
      <c r="H32" s="28">
        <v>0</v>
      </c>
      <c r="I32" s="6">
        <f>SUMPRODUCT($B32:$H32,'Input'!$B$146:$H$146)</f>
        <v>0</v>
      </c>
      <c r="J32" s="10"/>
    </row>
    <row r="33" spans="1:10">
      <c r="A33" s="11" t="s">
        <v>182</v>
      </c>
      <c r="B33" s="28">
        <v>0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1</v>
      </c>
      <c r="I33" s="6">
        <f>SUMPRODUCT($B33:$H33,'Input'!$B$146:$H$146)</f>
        <v>0</v>
      </c>
      <c r="J33" s="10"/>
    </row>
    <row r="34" spans="1:10">
      <c r="A34" s="11" t="s">
        <v>183</v>
      </c>
      <c r="B34" s="28">
        <v>0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1</v>
      </c>
      <c r="I34" s="6">
        <f>SUMPRODUCT($B34:$H34,'Input'!$B$146:$H$146)</f>
        <v>0</v>
      </c>
      <c r="J34" s="10"/>
    </row>
    <row r="35" spans="1:10">
      <c r="A35" s="11" t="s">
        <v>184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1</v>
      </c>
      <c r="H35" s="28">
        <v>0</v>
      </c>
      <c r="I35" s="6">
        <f>SUMPRODUCT($B35:$H35,'Input'!$B$146:$H$146)</f>
        <v>0</v>
      </c>
      <c r="J35" s="10"/>
    </row>
    <row r="36" spans="1:10">
      <c r="A36" s="11" t="s">
        <v>185</v>
      </c>
      <c r="B36" s="28">
        <v>0</v>
      </c>
      <c r="C36" s="28">
        <v>0</v>
      </c>
      <c r="D36" s="28">
        <v>0</v>
      </c>
      <c r="E36" s="28">
        <v>0</v>
      </c>
      <c r="F36" s="28">
        <v>0</v>
      </c>
      <c r="G36" s="28">
        <v>1</v>
      </c>
      <c r="H36" s="28">
        <v>0</v>
      </c>
      <c r="I36" s="6">
        <f>SUMPRODUCT($B36:$H36,'Input'!$B$146:$H$146)</f>
        <v>0</v>
      </c>
      <c r="J36" s="10"/>
    </row>
    <row r="37" spans="1:10">
      <c r="A37" s="11" t="s">
        <v>193</v>
      </c>
      <c r="B37" s="28">
        <v>0</v>
      </c>
      <c r="C37" s="28">
        <v>0</v>
      </c>
      <c r="D37" s="28">
        <v>0</v>
      </c>
      <c r="E37" s="28">
        <v>0</v>
      </c>
      <c r="F37" s="28">
        <v>1</v>
      </c>
      <c r="G37" s="28">
        <v>0</v>
      </c>
      <c r="H37" s="28">
        <v>0</v>
      </c>
      <c r="I37" s="6">
        <f>SUMPRODUCT($B37:$H37,'Input'!$B$146:$H$146)</f>
        <v>0</v>
      </c>
      <c r="J37" s="10"/>
    </row>
    <row r="38" spans="1:10">
      <c r="A38" s="11" t="s">
        <v>194</v>
      </c>
      <c r="B38" s="28">
        <v>0</v>
      </c>
      <c r="C38" s="28">
        <v>0</v>
      </c>
      <c r="D38" s="28">
        <v>0</v>
      </c>
      <c r="E38" s="28">
        <v>0</v>
      </c>
      <c r="F38" s="28">
        <v>1</v>
      </c>
      <c r="G38" s="28">
        <v>0</v>
      </c>
      <c r="H38" s="28">
        <v>0</v>
      </c>
      <c r="I38" s="6">
        <f>SUMPRODUCT($B38:$H38,'Input'!$B$146:$H$146)</f>
        <v>0</v>
      </c>
      <c r="J38" s="10"/>
    </row>
    <row r="40" spans="1:10">
      <c r="A40" s="1" t="s">
        <v>359</v>
      </c>
    </row>
    <row r="42" spans="1:10">
      <c r="B42" s="3" t="s">
        <v>141</v>
      </c>
      <c r="C42" s="3" t="s">
        <v>142</v>
      </c>
      <c r="D42" s="3" t="s">
        <v>143</v>
      </c>
      <c r="E42" s="3" t="s">
        <v>144</v>
      </c>
      <c r="F42" s="3" t="s">
        <v>145</v>
      </c>
      <c r="G42" s="3" t="s">
        <v>146</v>
      </c>
      <c r="H42" s="3" t="s">
        <v>147</v>
      </c>
    </row>
    <row r="43" spans="1:10">
      <c r="A43" s="11" t="s">
        <v>141</v>
      </c>
      <c r="B43" s="28">
        <v>1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10"/>
    </row>
    <row r="44" spans="1:10">
      <c r="A44" s="11" t="s">
        <v>142</v>
      </c>
      <c r="B44" s="28">
        <v>0</v>
      </c>
      <c r="C44" s="28">
        <v>1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10"/>
    </row>
    <row r="45" spans="1:10">
      <c r="A45" s="11" t="s">
        <v>143</v>
      </c>
      <c r="B45" s="28">
        <v>0</v>
      </c>
      <c r="C45" s="28">
        <v>0</v>
      </c>
      <c r="D45" s="28">
        <v>1</v>
      </c>
      <c r="E45" s="28">
        <v>0</v>
      </c>
      <c r="F45" s="28">
        <v>0</v>
      </c>
      <c r="G45" s="28">
        <v>0</v>
      </c>
      <c r="H45" s="28">
        <v>0</v>
      </c>
      <c r="I45" s="10"/>
    </row>
    <row r="46" spans="1:10">
      <c r="A46" s="11" t="s">
        <v>144</v>
      </c>
      <c r="B46" s="28">
        <v>0</v>
      </c>
      <c r="C46" s="28">
        <v>0</v>
      </c>
      <c r="D46" s="28">
        <v>0</v>
      </c>
      <c r="E46" s="28">
        <v>1</v>
      </c>
      <c r="F46" s="28">
        <v>0</v>
      </c>
      <c r="G46" s="28">
        <v>0</v>
      </c>
      <c r="H46" s="28">
        <v>0</v>
      </c>
      <c r="I46" s="10"/>
    </row>
    <row r="47" spans="1:10">
      <c r="A47" s="11" t="s">
        <v>149</v>
      </c>
      <c r="B47" s="28">
        <v>0</v>
      </c>
      <c r="C47" s="28">
        <v>0</v>
      </c>
      <c r="D47" s="28">
        <v>0</v>
      </c>
      <c r="E47" s="28">
        <v>1</v>
      </c>
      <c r="F47" s="28">
        <v>0</v>
      </c>
      <c r="G47" s="28">
        <v>0</v>
      </c>
      <c r="H47" s="28">
        <v>0</v>
      </c>
      <c r="I47" s="10"/>
    </row>
    <row r="48" spans="1:10">
      <c r="A48" s="11" t="s">
        <v>145</v>
      </c>
      <c r="B48" s="28">
        <v>0</v>
      </c>
      <c r="C48" s="28">
        <v>0</v>
      </c>
      <c r="D48" s="28">
        <v>0</v>
      </c>
      <c r="E48" s="28">
        <v>0</v>
      </c>
      <c r="F48" s="28">
        <v>1</v>
      </c>
      <c r="G48" s="28">
        <v>0</v>
      </c>
      <c r="H48" s="28">
        <v>0</v>
      </c>
      <c r="I48" s="10"/>
    </row>
    <row r="49" spans="1:9">
      <c r="A49" s="11" t="s">
        <v>146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8">
        <v>1</v>
      </c>
      <c r="H49" s="28">
        <v>0</v>
      </c>
      <c r="I49" s="10"/>
    </row>
    <row r="50" spans="1:9">
      <c r="A50" s="11" t="s">
        <v>147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1</v>
      </c>
      <c r="I50" s="10"/>
    </row>
    <row r="52" spans="1:9">
      <c r="A52" s="1" t="s">
        <v>360</v>
      </c>
    </row>
    <row r="53" spans="1:9">
      <c r="A53" s="2" t="s">
        <v>349</v>
      </c>
    </row>
    <row r="54" spans="1:9">
      <c r="A54" s="12" t="s">
        <v>361</v>
      </c>
    </row>
    <row r="55" spans="1:9">
      <c r="A55" s="12" t="s">
        <v>351</v>
      </c>
    </row>
    <row r="56" spans="1:9">
      <c r="A56" s="2" t="s">
        <v>362</v>
      </c>
    </row>
    <row r="58" spans="1:9">
      <c r="B58" s="3" t="s">
        <v>363</v>
      </c>
    </row>
    <row r="59" spans="1:9">
      <c r="A59" s="11" t="s">
        <v>141</v>
      </c>
      <c r="B59" s="6">
        <f>SUMPRODUCT($B43:$H43,'Input'!$B$146:$H$146)</f>
        <v>0</v>
      </c>
      <c r="C59" s="10"/>
    </row>
    <row r="60" spans="1:9">
      <c r="A60" s="11" t="s">
        <v>142</v>
      </c>
      <c r="B60" s="6">
        <f>SUMPRODUCT($B44:$H44,'Input'!$B$146:$H$146)</f>
        <v>0</v>
      </c>
      <c r="C60" s="10"/>
    </row>
    <row r="61" spans="1:9">
      <c r="A61" s="11" t="s">
        <v>143</v>
      </c>
      <c r="B61" s="6">
        <f>SUMPRODUCT($B45:$H45,'Input'!$B$146:$H$146)</f>
        <v>0</v>
      </c>
      <c r="C61" s="10"/>
    </row>
    <row r="62" spans="1:9">
      <c r="A62" s="11" t="s">
        <v>144</v>
      </c>
      <c r="B62" s="6">
        <f>SUMPRODUCT($B46:$H46,'Input'!$B$146:$H$146)</f>
        <v>0</v>
      </c>
      <c r="C62" s="10"/>
    </row>
    <row r="63" spans="1:9">
      <c r="A63" s="11" t="s">
        <v>149</v>
      </c>
      <c r="B63" s="6">
        <f>SUMPRODUCT($B47:$H47,'Input'!$B$146:$H$146)</f>
        <v>0</v>
      </c>
      <c r="C63" s="10"/>
    </row>
    <row r="64" spans="1:9">
      <c r="A64" s="11" t="s">
        <v>145</v>
      </c>
      <c r="B64" s="6">
        <f>SUMPRODUCT($B48:$H48,'Input'!$B$146:$H$146)</f>
        <v>0</v>
      </c>
      <c r="C64" s="10"/>
    </row>
    <row r="65" spans="1:11">
      <c r="A65" s="11" t="s">
        <v>146</v>
      </c>
      <c r="B65" s="6">
        <f>SUMPRODUCT($B49:$H49,'Input'!$B$146:$H$146)</f>
        <v>0</v>
      </c>
      <c r="C65" s="10"/>
    </row>
    <row r="66" spans="1:11">
      <c r="A66" s="11" t="s">
        <v>147</v>
      </c>
      <c r="B66" s="6">
        <f>SUMPRODUCT($B50:$H50,'Input'!$B$146:$H$146)</f>
        <v>0</v>
      </c>
      <c r="C66" s="10"/>
    </row>
    <row r="68" spans="1:11">
      <c r="A68" s="1" t="s">
        <v>364</v>
      </c>
    </row>
    <row r="69" spans="1:11">
      <c r="A69" s="2" t="s">
        <v>349</v>
      </c>
    </row>
    <row r="70" spans="1:11">
      <c r="A70" s="12" t="s">
        <v>365</v>
      </c>
    </row>
    <row r="71" spans="1:11">
      <c r="A71" s="2" t="s">
        <v>366</v>
      </c>
    </row>
    <row r="72" spans="1:11">
      <c r="A72" s="2" t="s">
        <v>367</v>
      </c>
    </row>
    <row r="74" spans="1:11">
      <c r="B74" s="3" t="s">
        <v>140</v>
      </c>
      <c r="C74" s="3" t="s">
        <v>141</v>
      </c>
      <c r="D74" s="3" t="s">
        <v>142</v>
      </c>
      <c r="E74" s="3" t="s">
        <v>143</v>
      </c>
      <c r="F74" s="3" t="s">
        <v>144</v>
      </c>
      <c r="G74" s="3" t="s">
        <v>149</v>
      </c>
      <c r="H74" s="3" t="s">
        <v>145</v>
      </c>
      <c r="I74" s="3" t="s">
        <v>146</v>
      </c>
      <c r="J74" s="3" t="s">
        <v>147</v>
      </c>
    </row>
    <row r="75" spans="1:11">
      <c r="A75" s="11" t="s">
        <v>368</v>
      </c>
      <c r="B75" s="5">
        <v>1</v>
      </c>
      <c r="C75" s="7">
        <f>$B$59</f>
        <v>0</v>
      </c>
      <c r="D75" s="7">
        <f>$B$60</f>
        <v>0</v>
      </c>
      <c r="E75" s="7">
        <f>$B$61</f>
        <v>0</v>
      </c>
      <c r="F75" s="7">
        <f>$B$62</f>
        <v>0</v>
      </c>
      <c r="G75" s="7">
        <f>$B$63</f>
        <v>0</v>
      </c>
      <c r="H75" s="7">
        <f>$B$64</f>
        <v>0</v>
      </c>
      <c r="I75" s="7">
        <f>$B$65</f>
        <v>0</v>
      </c>
      <c r="J75" s="7">
        <f>$B$66</f>
        <v>0</v>
      </c>
      <c r="K75" s="10"/>
    </row>
    <row r="77" spans="1:11">
      <c r="A77" s="1" t="s">
        <v>369</v>
      </c>
    </row>
    <row r="78" spans="1:11">
      <c r="A78" s="2" t="s">
        <v>370</v>
      </c>
    </row>
    <row r="79" spans="1:11">
      <c r="A79" s="2" t="s">
        <v>371</v>
      </c>
    </row>
    <row r="80" spans="1:11">
      <c r="A80" s="2" t="s">
        <v>372</v>
      </c>
    </row>
    <row r="82" spans="1:10">
      <c r="B82" s="3" t="s">
        <v>140</v>
      </c>
      <c r="C82" s="3" t="s">
        <v>141</v>
      </c>
      <c r="D82" s="3" t="s">
        <v>142</v>
      </c>
      <c r="E82" s="3" t="s">
        <v>143</v>
      </c>
      <c r="F82" s="3" t="s">
        <v>144</v>
      </c>
      <c r="G82" s="3" t="s">
        <v>145</v>
      </c>
      <c r="H82" s="3" t="s">
        <v>146</v>
      </c>
      <c r="I82" s="3" t="s">
        <v>147</v>
      </c>
    </row>
    <row r="83" spans="1:10">
      <c r="A83" s="11" t="s">
        <v>172</v>
      </c>
      <c r="B83" s="5">
        <v>1</v>
      </c>
      <c r="C83" s="5">
        <v>1</v>
      </c>
      <c r="D83" s="5">
        <v>1</v>
      </c>
      <c r="E83" s="5">
        <v>1</v>
      </c>
      <c r="F83" s="5">
        <v>1</v>
      </c>
      <c r="G83" s="5">
        <v>1</v>
      </c>
      <c r="H83" s="5">
        <v>1</v>
      </c>
      <c r="I83" s="5">
        <v>1</v>
      </c>
      <c r="J83" s="10"/>
    </row>
    <row r="84" spans="1:10">
      <c r="A84" s="11" t="s">
        <v>173</v>
      </c>
      <c r="B84" s="5">
        <v>1</v>
      </c>
      <c r="C84" s="5">
        <v>1</v>
      </c>
      <c r="D84" s="5">
        <v>1</v>
      </c>
      <c r="E84" s="5">
        <v>1</v>
      </c>
      <c r="F84" s="5">
        <v>1</v>
      </c>
      <c r="G84" s="5">
        <v>1</v>
      </c>
      <c r="H84" s="5">
        <v>1</v>
      </c>
      <c r="I84" s="5">
        <v>1</v>
      </c>
      <c r="J84" s="10"/>
    </row>
    <row r="85" spans="1:10">
      <c r="A85" s="11" t="s">
        <v>210</v>
      </c>
      <c r="B85" s="5">
        <v>1</v>
      </c>
      <c r="C85" s="5">
        <v>1</v>
      </c>
      <c r="D85" s="5">
        <v>1</v>
      </c>
      <c r="E85" s="5">
        <v>1</v>
      </c>
      <c r="F85" s="5">
        <v>1</v>
      </c>
      <c r="G85" s="5">
        <v>1</v>
      </c>
      <c r="H85" s="5">
        <v>1</v>
      </c>
      <c r="I85" s="5">
        <v>1</v>
      </c>
      <c r="J85" s="10"/>
    </row>
    <row r="86" spans="1:10">
      <c r="A86" s="11" t="s">
        <v>174</v>
      </c>
      <c r="B86" s="5">
        <v>1</v>
      </c>
      <c r="C86" s="5">
        <v>1</v>
      </c>
      <c r="D86" s="5">
        <v>1</v>
      </c>
      <c r="E86" s="5">
        <v>1</v>
      </c>
      <c r="F86" s="5">
        <v>1</v>
      </c>
      <c r="G86" s="5">
        <v>1</v>
      </c>
      <c r="H86" s="5">
        <v>1</v>
      </c>
      <c r="I86" s="5">
        <v>1</v>
      </c>
      <c r="J86" s="10"/>
    </row>
    <row r="87" spans="1:10">
      <c r="A87" s="11" t="s">
        <v>175</v>
      </c>
      <c r="B87" s="5">
        <v>1</v>
      </c>
      <c r="C87" s="5">
        <v>1</v>
      </c>
      <c r="D87" s="5">
        <v>1</v>
      </c>
      <c r="E87" s="5">
        <v>1</v>
      </c>
      <c r="F87" s="5">
        <v>1</v>
      </c>
      <c r="G87" s="5">
        <v>1</v>
      </c>
      <c r="H87" s="5">
        <v>1</v>
      </c>
      <c r="I87" s="5">
        <v>1</v>
      </c>
      <c r="J87" s="10"/>
    </row>
    <row r="88" spans="1:10">
      <c r="A88" s="11" t="s">
        <v>211</v>
      </c>
      <c r="B88" s="5">
        <v>1</v>
      </c>
      <c r="C88" s="5">
        <v>1</v>
      </c>
      <c r="D88" s="5">
        <v>1</v>
      </c>
      <c r="E88" s="5">
        <v>1</v>
      </c>
      <c r="F88" s="5">
        <v>1</v>
      </c>
      <c r="G88" s="5">
        <v>1</v>
      </c>
      <c r="H88" s="5">
        <v>1</v>
      </c>
      <c r="I88" s="5">
        <v>1</v>
      </c>
      <c r="J88" s="10"/>
    </row>
    <row r="89" spans="1:10">
      <c r="A89" s="11" t="s">
        <v>176</v>
      </c>
      <c r="B89" s="5">
        <v>1</v>
      </c>
      <c r="C89" s="5">
        <v>1</v>
      </c>
      <c r="D89" s="5">
        <v>1</v>
      </c>
      <c r="E89" s="5">
        <v>1</v>
      </c>
      <c r="F89" s="5">
        <v>1</v>
      </c>
      <c r="G89" s="5">
        <v>1</v>
      </c>
      <c r="H89" s="5">
        <v>1</v>
      </c>
      <c r="I89" s="5">
        <v>1</v>
      </c>
      <c r="J89" s="10"/>
    </row>
    <row r="90" spans="1:10">
      <c r="A90" s="11" t="s">
        <v>177</v>
      </c>
      <c r="B90" s="5">
        <v>1</v>
      </c>
      <c r="C90" s="5">
        <v>1</v>
      </c>
      <c r="D90" s="5">
        <v>1</v>
      </c>
      <c r="E90" s="5">
        <v>1</v>
      </c>
      <c r="F90" s="5">
        <v>1</v>
      </c>
      <c r="G90" s="5">
        <v>1</v>
      </c>
      <c r="H90" s="5">
        <v>1</v>
      </c>
      <c r="I90" s="5">
        <v>0</v>
      </c>
      <c r="J90" s="10"/>
    </row>
    <row r="91" spans="1:10">
      <c r="A91" s="11" t="s">
        <v>191</v>
      </c>
      <c r="B91" s="5">
        <v>1</v>
      </c>
      <c r="C91" s="5">
        <v>1</v>
      </c>
      <c r="D91" s="5">
        <v>1</v>
      </c>
      <c r="E91" s="5">
        <v>1</v>
      </c>
      <c r="F91" s="5">
        <v>1</v>
      </c>
      <c r="G91" s="5">
        <v>1</v>
      </c>
      <c r="H91" s="5">
        <v>0</v>
      </c>
      <c r="I91" s="5">
        <v>0</v>
      </c>
      <c r="J91" s="10"/>
    </row>
    <row r="92" spans="1:10">
      <c r="A92" s="11" t="s">
        <v>178</v>
      </c>
      <c r="B92" s="5">
        <v>1</v>
      </c>
      <c r="C92" s="5">
        <v>1</v>
      </c>
      <c r="D92" s="5">
        <v>1</v>
      </c>
      <c r="E92" s="5">
        <v>1</v>
      </c>
      <c r="F92" s="5">
        <v>1</v>
      </c>
      <c r="G92" s="5">
        <v>1</v>
      </c>
      <c r="H92" s="5">
        <v>1</v>
      </c>
      <c r="I92" s="5">
        <v>1</v>
      </c>
      <c r="J92" s="10"/>
    </row>
    <row r="93" spans="1:10">
      <c r="A93" s="11" t="s">
        <v>179</v>
      </c>
      <c r="B93" s="5">
        <v>1</v>
      </c>
      <c r="C93" s="5">
        <v>1</v>
      </c>
      <c r="D93" s="5">
        <v>1</v>
      </c>
      <c r="E93" s="5">
        <v>1</v>
      </c>
      <c r="F93" s="5">
        <v>1</v>
      </c>
      <c r="G93" s="5">
        <v>1</v>
      </c>
      <c r="H93" s="5">
        <v>1</v>
      </c>
      <c r="I93" s="5">
        <v>0</v>
      </c>
      <c r="J93" s="10"/>
    </row>
    <row r="94" spans="1:10">
      <c r="A94" s="11" t="s">
        <v>192</v>
      </c>
      <c r="B94" s="5">
        <v>1</v>
      </c>
      <c r="C94" s="5">
        <v>1</v>
      </c>
      <c r="D94" s="5">
        <v>1</v>
      </c>
      <c r="E94" s="5">
        <v>1</v>
      </c>
      <c r="F94" s="5">
        <v>1</v>
      </c>
      <c r="G94" s="5">
        <v>1</v>
      </c>
      <c r="H94" s="5">
        <v>0</v>
      </c>
      <c r="I94" s="5">
        <v>0</v>
      </c>
      <c r="J94" s="10"/>
    </row>
    <row r="95" spans="1:10">
      <c r="A95" s="11" t="s">
        <v>212</v>
      </c>
      <c r="B95" s="5">
        <v>1</v>
      </c>
      <c r="C95" s="5">
        <v>1</v>
      </c>
      <c r="D95" s="5">
        <v>1</v>
      </c>
      <c r="E95" s="5">
        <v>1</v>
      </c>
      <c r="F95" s="5">
        <v>1</v>
      </c>
      <c r="G95" s="5">
        <v>1</v>
      </c>
      <c r="H95" s="5">
        <v>1</v>
      </c>
      <c r="I95" s="5">
        <v>1</v>
      </c>
      <c r="J95" s="10"/>
    </row>
    <row r="96" spans="1:10">
      <c r="A96" s="11" t="s">
        <v>213</v>
      </c>
      <c r="B96" s="5">
        <v>1</v>
      </c>
      <c r="C96" s="5">
        <v>1</v>
      </c>
      <c r="D96" s="5">
        <v>1</v>
      </c>
      <c r="E96" s="5">
        <v>1</v>
      </c>
      <c r="F96" s="5">
        <v>1</v>
      </c>
      <c r="G96" s="5">
        <v>1</v>
      </c>
      <c r="H96" s="5">
        <v>1</v>
      </c>
      <c r="I96" s="5">
        <v>1</v>
      </c>
      <c r="J96" s="10"/>
    </row>
    <row r="97" spans="1:10">
      <c r="A97" s="11" t="s">
        <v>214</v>
      </c>
      <c r="B97" s="5">
        <v>1</v>
      </c>
      <c r="C97" s="5">
        <v>1</v>
      </c>
      <c r="D97" s="5">
        <v>1</v>
      </c>
      <c r="E97" s="5">
        <v>1</v>
      </c>
      <c r="F97" s="5">
        <v>1</v>
      </c>
      <c r="G97" s="5">
        <v>1</v>
      </c>
      <c r="H97" s="5">
        <v>1</v>
      </c>
      <c r="I97" s="5">
        <v>1</v>
      </c>
      <c r="J97" s="10"/>
    </row>
    <row r="98" spans="1:10">
      <c r="A98" s="11" t="s">
        <v>215</v>
      </c>
      <c r="B98" s="5">
        <v>1</v>
      </c>
      <c r="C98" s="5">
        <v>1</v>
      </c>
      <c r="D98" s="5">
        <v>1</v>
      </c>
      <c r="E98" s="5">
        <v>1</v>
      </c>
      <c r="F98" s="5">
        <v>1</v>
      </c>
      <c r="G98" s="5">
        <v>1</v>
      </c>
      <c r="H98" s="5">
        <v>1</v>
      </c>
      <c r="I98" s="5">
        <v>1</v>
      </c>
      <c r="J98" s="10"/>
    </row>
    <row r="99" spans="1:10">
      <c r="A99" s="11" t="s">
        <v>216</v>
      </c>
      <c r="B99" s="5">
        <v>1</v>
      </c>
      <c r="C99" s="5">
        <v>1</v>
      </c>
      <c r="D99" s="5">
        <v>1</v>
      </c>
      <c r="E99" s="5">
        <v>1</v>
      </c>
      <c r="F99" s="5">
        <v>1</v>
      </c>
      <c r="G99" s="5">
        <v>1</v>
      </c>
      <c r="H99" s="5">
        <v>1</v>
      </c>
      <c r="I99" s="5">
        <v>1</v>
      </c>
      <c r="J99" s="10"/>
    </row>
    <row r="100" spans="1:10">
      <c r="A100" s="11" t="s">
        <v>180</v>
      </c>
      <c r="B100" s="5">
        <v>1</v>
      </c>
      <c r="C100" s="5">
        <v>1</v>
      </c>
      <c r="D100" s="5">
        <v>1</v>
      </c>
      <c r="E100" s="5">
        <v>1</v>
      </c>
      <c r="F100" s="5">
        <v>1</v>
      </c>
      <c r="G100" s="5">
        <v>1</v>
      </c>
      <c r="H100" s="5">
        <v>1</v>
      </c>
      <c r="I100" s="5">
        <v>0</v>
      </c>
      <c r="J100" s="10"/>
    </row>
    <row r="101" spans="1:10">
      <c r="A101" s="11" t="s">
        <v>181</v>
      </c>
      <c r="B101" s="5">
        <v>1</v>
      </c>
      <c r="C101" s="5">
        <v>1</v>
      </c>
      <c r="D101" s="5">
        <v>1</v>
      </c>
      <c r="E101" s="5">
        <v>1</v>
      </c>
      <c r="F101" s="5">
        <v>1</v>
      </c>
      <c r="G101" s="5">
        <v>1</v>
      </c>
      <c r="H101" s="5">
        <v>0</v>
      </c>
      <c r="I101" s="5">
        <v>0</v>
      </c>
      <c r="J101" s="10"/>
    </row>
    <row r="102" spans="1:10">
      <c r="A102" s="11" t="s">
        <v>182</v>
      </c>
      <c r="B102" s="5">
        <v>1</v>
      </c>
      <c r="C102" s="5">
        <v>1</v>
      </c>
      <c r="D102" s="5">
        <v>1</v>
      </c>
      <c r="E102" s="5">
        <v>1</v>
      </c>
      <c r="F102" s="5">
        <v>1</v>
      </c>
      <c r="G102" s="5">
        <v>1</v>
      </c>
      <c r="H102" s="5">
        <v>1</v>
      </c>
      <c r="I102" s="5">
        <v>0</v>
      </c>
      <c r="J102" s="10"/>
    </row>
    <row r="103" spans="1:10">
      <c r="A103" s="11" t="s">
        <v>183</v>
      </c>
      <c r="B103" s="5">
        <v>1</v>
      </c>
      <c r="C103" s="5">
        <v>1</v>
      </c>
      <c r="D103" s="5">
        <v>1</v>
      </c>
      <c r="E103" s="5">
        <v>1</v>
      </c>
      <c r="F103" s="5">
        <v>1</v>
      </c>
      <c r="G103" s="5">
        <v>1</v>
      </c>
      <c r="H103" s="5">
        <v>1</v>
      </c>
      <c r="I103" s="5">
        <v>0</v>
      </c>
      <c r="J103" s="10"/>
    </row>
    <row r="104" spans="1:10">
      <c r="A104" s="11" t="s">
        <v>184</v>
      </c>
      <c r="B104" s="5">
        <v>1</v>
      </c>
      <c r="C104" s="5">
        <v>1</v>
      </c>
      <c r="D104" s="5">
        <v>1</v>
      </c>
      <c r="E104" s="5">
        <v>1</v>
      </c>
      <c r="F104" s="5">
        <v>1</v>
      </c>
      <c r="G104" s="5">
        <v>1</v>
      </c>
      <c r="H104" s="5">
        <v>0</v>
      </c>
      <c r="I104" s="5">
        <v>0</v>
      </c>
      <c r="J104" s="10"/>
    </row>
    <row r="105" spans="1:10">
      <c r="A105" s="11" t="s">
        <v>185</v>
      </c>
      <c r="B105" s="5">
        <v>1</v>
      </c>
      <c r="C105" s="5">
        <v>1</v>
      </c>
      <c r="D105" s="5">
        <v>1</v>
      </c>
      <c r="E105" s="5">
        <v>1</v>
      </c>
      <c r="F105" s="5">
        <v>1</v>
      </c>
      <c r="G105" s="5">
        <v>1</v>
      </c>
      <c r="H105" s="5">
        <v>0</v>
      </c>
      <c r="I105" s="5">
        <v>0</v>
      </c>
      <c r="J105" s="10"/>
    </row>
    <row r="106" spans="1:10">
      <c r="A106" s="11" t="s">
        <v>193</v>
      </c>
      <c r="B106" s="5">
        <v>1</v>
      </c>
      <c r="C106" s="5">
        <v>1</v>
      </c>
      <c r="D106" s="5">
        <v>1</v>
      </c>
      <c r="E106" s="5">
        <v>1</v>
      </c>
      <c r="F106" s="5">
        <v>1</v>
      </c>
      <c r="G106" s="5">
        <v>0</v>
      </c>
      <c r="H106" s="5">
        <v>0</v>
      </c>
      <c r="I106" s="5">
        <v>0</v>
      </c>
      <c r="J106" s="10"/>
    </row>
    <row r="107" spans="1:10">
      <c r="A107" s="11" t="s">
        <v>194</v>
      </c>
      <c r="B107" s="5">
        <v>1</v>
      </c>
      <c r="C107" s="5">
        <v>1</v>
      </c>
      <c r="D107" s="5">
        <v>1</v>
      </c>
      <c r="E107" s="5">
        <v>1</v>
      </c>
      <c r="F107" s="5">
        <v>1</v>
      </c>
      <c r="G107" s="5">
        <v>0</v>
      </c>
      <c r="H107" s="5">
        <v>0</v>
      </c>
      <c r="I107" s="5">
        <v>0</v>
      </c>
      <c r="J107" s="10"/>
    </row>
    <row r="109" spans="1:10">
      <c r="A109" s="1" t="s">
        <v>373</v>
      </c>
    </row>
    <row r="110" spans="1:10">
      <c r="A110" s="2" t="s">
        <v>349</v>
      </c>
    </row>
    <row r="111" spans="1:10">
      <c r="A111" s="12" t="s">
        <v>374</v>
      </c>
    </row>
    <row r="112" spans="1:10">
      <c r="A112" s="2" t="s">
        <v>375</v>
      </c>
    </row>
    <row r="114" spans="1:3">
      <c r="B114" s="3" t="s">
        <v>142</v>
      </c>
    </row>
    <row r="115" spans="1:3">
      <c r="A115" s="11" t="s">
        <v>142</v>
      </c>
      <c r="B115" s="29">
        <f>1-'Input'!$B$80</f>
        <v>0</v>
      </c>
      <c r="C115" s="10"/>
    </row>
    <row r="117" spans="1:3">
      <c r="A117" s="1" t="s">
        <v>376</v>
      </c>
    </row>
    <row r="118" spans="1:3">
      <c r="A118" s="2" t="s">
        <v>349</v>
      </c>
    </row>
    <row r="119" spans="1:3">
      <c r="A119" s="12" t="s">
        <v>374</v>
      </c>
    </row>
    <row r="120" spans="1:3">
      <c r="A120" s="2" t="s">
        <v>375</v>
      </c>
    </row>
    <row r="122" spans="1:3">
      <c r="B122" s="3" t="s">
        <v>143</v>
      </c>
    </row>
    <row r="123" spans="1:3">
      <c r="A123" s="11" t="s">
        <v>143</v>
      </c>
      <c r="B123" s="29">
        <f>1-'Input'!$B$80</f>
        <v>0</v>
      </c>
      <c r="C123" s="10"/>
    </row>
    <row r="125" spans="1:3">
      <c r="A125" s="1" t="s">
        <v>377</v>
      </c>
    </row>
    <row r="126" spans="1:3">
      <c r="A126" s="2" t="s">
        <v>349</v>
      </c>
    </row>
    <row r="127" spans="1:3">
      <c r="A127" s="12" t="s">
        <v>374</v>
      </c>
    </row>
    <row r="128" spans="1:3">
      <c r="A128" s="2" t="s">
        <v>375</v>
      </c>
    </row>
    <row r="130" spans="1:10">
      <c r="B130" s="3" t="s">
        <v>144</v>
      </c>
    </row>
    <row r="131" spans="1:10">
      <c r="A131" s="11" t="s">
        <v>144</v>
      </c>
      <c r="B131" s="29">
        <f>1-'Input'!$B$80</f>
        <v>0</v>
      </c>
      <c r="C131" s="10"/>
    </row>
    <row r="133" spans="1:10">
      <c r="A133" s="1" t="s">
        <v>378</v>
      </c>
    </row>
    <row r="134" spans="1:10">
      <c r="A134" s="2" t="s">
        <v>349</v>
      </c>
    </row>
    <row r="135" spans="1:10">
      <c r="A135" s="12" t="s">
        <v>374</v>
      </c>
    </row>
    <row r="136" spans="1:10">
      <c r="A136" s="12" t="s">
        <v>379</v>
      </c>
    </row>
    <row r="137" spans="1:10">
      <c r="A137" s="12" t="s">
        <v>380</v>
      </c>
    </row>
    <row r="138" spans="1:10">
      <c r="A138" s="12" t="s">
        <v>381</v>
      </c>
    </row>
    <row r="139" spans="1:10">
      <c r="A139" s="2" t="s">
        <v>382</v>
      </c>
    </row>
    <row r="140" spans="1:10">
      <c r="A140" s="2" t="s">
        <v>383</v>
      </c>
    </row>
    <row r="141" spans="1:10">
      <c r="A141" s="2" t="s">
        <v>384</v>
      </c>
    </row>
    <row r="143" spans="1:10">
      <c r="B143" s="3" t="s">
        <v>140</v>
      </c>
      <c r="C143" s="3" t="s">
        <v>141</v>
      </c>
      <c r="D143" s="3" t="s">
        <v>142</v>
      </c>
      <c r="E143" s="3" t="s">
        <v>143</v>
      </c>
      <c r="F143" s="3" t="s">
        <v>144</v>
      </c>
      <c r="G143" s="3" t="s">
        <v>145</v>
      </c>
      <c r="H143" s="3" t="s">
        <v>146</v>
      </c>
      <c r="I143" s="3" t="s">
        <v>147</v>
      </c>
    </row>
    <row r="144" spans="1:10">
      <c r="A144" s="11" t="s">
        <v>140</v>
      </c>
      <c r="B144" s="5">
        <v>1</v>
      </c>
      <c r="C144" s="9"/>
      <c r="D144" s="9"/>
      <c r="E144" s="9"/>
      <c r="F144" s="9"/>
      <c r="G144" s="9"/>
      <c r="H144" s="9"/>
      <c r="I144" s="9"/>
      <c r="J144" s="10"/>
    </row>
    <row r="145" spans="1:10">
      <c r="A145" s="11" t="s">
        <v>141</v>
      </c>
      <c r="B145" s="9"/>
      <c r="C145" s="30">
        <v>1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10"/>
    </row>
    <row r="146" spans="1:10">
      <c r="A146" s="11" t="s">
        <v>142</v>
      </c>
      <c r="B146" s="9"/>
      <c r="C146" s="30">
        <v>0</v>
      </c>
      <c r="D146" s="31">
        <f>$B$115</f>
        <v>0</v>
      </c>
      <c r="E146" s="30">
        <v>0</v>
      </c>
      <c r="F146" s="30">
        <v>0</v>
      </c>
      <c r="G146" s="30">
        <v>0</v>
      </c>
      <c r="H146" s="30">
        <v>0</v>
      </c>
      <c r="I146" s="30">
        <v>0</v>
      </c>
      <c r="J146" s="10"/>
    </row>
    <row r="147" spans="1:10">
      <c r="A147" s="11" t="s">
        <v>143</v>
      </c>
      <c r="B147" s="9"/>
      <c r="C147" s="30">
        <v>0</v>
      </c>
      <c r="D147" s="30">
        <v>0</v>
      </c>
      <c r="E147" s="31">
        <f>$B$123</f>
        <v>0</v>
      </c>
      <c r="F147" s="30">
        <v>0</v>
      </c>
      <c r="G147" s="30">
        <v>0</v>
      </c>
      <c r="H147" s="30">
        <v>0</v>
      </c>
      <c r="I147" s="30">
        <v>0</v>
      </c>
      <c r="J147" s="10"/>
    </row>
    <row r="148" spans="1:10">
      <c r="A148" s="11" t="s">
        <v>144</v>
      </c>
      <c r="B148" s="9"/>
      <c r="C148" s="30">
        <v>0</v>
      </c>
      <c r="D148" s="30">
        <v>0</v>
      </c>
      <c r="E148" s="30">
        <v>0</v>
      </c>
      <c r="F148" s="31">
        <f>$B$131</f>
        <v>0</v>
      </c>
      <c r="G148" s="30">
        <v>0</v>
      </c>
      <c r="H148" s="30">
        <v>0</v>
      </c>
      <c r="I148" s="30">
        <v>0</v>
      </c>
      <c r="J148" s="10"/>
    </row>
    <row r="149" spans="1:10">
      <c r="A149" s="11" t="s">
        <v>149</v>
      </c>
      <c r="B149" s="9"/>
      <c r="C149" s="30">
        <v>0</v>
      </c>
      <c r="D149" s="30">
        <v>0</v>
      </c>
      <c r="E149" s="30">
        <v>0</v>
      </c>
      <c r="F149" s="31">
        <f>'Input'!$B$80</f>
        <v>0</v>
      </c>
      <c r="G149" s="30">
        <v>0</v>
      </c>
      <c r="H149" s="30">
        <v>0</v>
      </c>
      <c r="I149" s="30">
        <v>0</v>
      </c>
      <c r="J149" s="10"/>
    </row>
    <row r="150" spans="1:10">
      <c r="A150" s="11" t="s">
        <v>145</v>
      </c>
      <c r="B150" s="9"/>
      <c r="C150" s="30">
        <v>0</v>
      </c>
      <c r="D150" s="30">
        <v>0</v>
      </c>
      <c r="E150" s="30">
        <v>0</v>
      </c>
      <c r="F150" s="30">
        <v>0</v>
      </c>
      <c r="G150" s="30">
        <v>1</v>
      </c>
      <c r="H150" s="30">
        <v>0</v>
      </c>
      <c r="I150" s="30">
        <v>0</v>
      </c>
      <c r="J150" s="10"/>
    </row>
    <row r="151" spans="1:10">
      <c r="A151" s="11" t="s">
        <v>146</v>
      </c>
      <c r="B151" s="9"/>
      <c r="C151" s="30">
        <v>0</v>
      </c>
      <c r="D151" s="30">
        <v>0</v>
      </c>
      <c r="E151" s="30">
        <v>0</v>
      </c>
      <c r="F151" s="30">
        <v>0</v>
      </c>
      <c r="G151" s="30">
        <v>0</v>
      </c>
      <c r="H151" s="30">
        <v>1</v>
      </c>
      <c r="I151" s="30">
        <v>0</v>
      </c>
      <c r="J151" s="10"/>
    </row>
    <row r="152" spans="1:10">
      <c r="A152" s="11" t="s">
        <v>147</v>
      </c>
      <c r="B152" s="9"/>
      <c r="C152" s="30">
        <v>0</v>
      </c>
      <c r="D152" s="30">
        <v>0</v>
      </c>
      <c r="E152" s="30">
        <v>0</v>
      </c>
      <c r="F152" s="30">
        <v>0</v>
      </c>
      <c r="G152" s="30">
        <v>0</v>
      </c>
      <c r="H152" s="30">
        <v>0</v>
      </c>
      <c r="I152" s="30">
        <v>1</v>
      </c>
      <c r="J152" s="10"/>
    </row>
    <row r="154" spans="1:10">
      <c r="A154" s="1" t="s">
        <v>385</v>
      </c>
    </row>
    <row r="155" spans="1:10">
      <c r="A155" s="2" t="s">
        <v>349</v>
      </c>
    </row>
    <row r="156" spans="1:10">
      <c r="A156" s="12" t="s">
        <v>386</v>
      </c>
    </row>
    <row r="157" spans="1:10">
      <c r="A157" s="12" t="s">
        <v>387</v>
      </c>
    </row>
    <row r="158" spans="1:10">
      <c r="A158" s="2" t="s">
        <v>362</v>
      </c>
    </row>
    <row r="160" spans="1:10">
      <c r="B160" s="3" t="s">
        <v>140</v>
      </c>
      <c r="C160" s="3" t="s">
        <v>141</v>
      </c>
      <c r="D160" s="3" t="s">
        <v>142</v>
      </c>
      <c r="E160" s="3" t="s">
        <v>143</v>
      </c>
      <c r="F160" s="3" t="s">
        <v>144</v>
      </c>
      <c r="G160" s="3" t="s">
        <v>149</v>
      </c>
      <c r="H160" s="3" t="s">
        <v>145</v>
      </c>
      <c r="I160" s="3" t="s">
        <v>146</v>
      </c>
      <c r="J160" s="3" t="s">
        <v>147</v>
      </c>
    </row>
    <row r="161" spans="1:11">
      <c r="A161" s="11" t="s">
        <v>172</v>
      </c>
      <c r="B161" s="6">
        <f>SUMPRODUCT($B83:$I83,$B$144:$I$144)</f>
        <v>0</v>
      </c>
      <c r="C161" s="6">
        <f>SUMPRODUCT($B83:$I83,$B$145:$I$145)</f>
        <v>0</v>
      </c>
      <c r="D161" s="6">
        <f>SUMPRODUCT($B83:$I83,$B$146:$I$146)</f>
        <v>0</v>
      </c>
      <c r="E161" s="6">
        <f>SUMPRODUCT($B83:$I83,$B$147:$I$147)</f>
        <v>0</v>
      </c>
      <c r="F161" s="6">
        <f>SUMPRODUCT($B83:$I83,$B$148:$I$148)</f>
        <v>0</v>
      </c>
      <c r="G161" s="6">
        <f>SUMPRODUCT($B83:$I83,$B$149:$I$149)</f>
        <v>0</v>
      </c>
      <c r="H161" s="6">
        <f>SUMPRODUCT($B83:$I83,$B$150:$I$150)</f>
        <v>0</v>
      </c>
      <c r="I161" s="6">
        <f>SUMPRODUCT($B83:$I83,$B$151:$I$151)</f>
        <v>0</v>
      </c>
      <c r="J161" s="6">
        <f>SUMPRODUCT($B83:$I83,$B$152:$I$152)</f>
        <v>0</v>
      </c>
      <c r="K161" s="10"/>
    </row>
    <row r="162" spans="1:11">
      <c r="A162" s="11" t="s">
        <v>173</v>
      </c>
      <c r="B162" s="6">
        <f>SUMPRODUCT($B84:$I84,$B$144:$I$144)</f>
        <v>0</v>
      </c>
      <c r="C162" s="6">
        <f>SUMPRODUCT($B84:$I84,$B$145:$I$145)</f>
        <v>0</v>
      </c>
      <c r="D162" s="6">
        <f>SUMPRODUCT($B84:$I84,$B$146:$I$146)</f>
        <v>0</v>
      </c>
      <c r="E162" s="6">
        <f>SUMPRODUCT($B84:$I84,$B$147:$I$147)</f>
        <v>0</v>
      </c>
      <c r="F162" s="6">
        <f>SUMPRODUCT($B84:$I84,$B$148:$I$148)</f>
        <v>0</v>
      </c>
      <c r="G162" s="6">
        <f>SUMPRODUCT($B84:$I84,$B$149:$I$149)</f>
        <v>0</v>
      </c>
      <c r="H162" s="6">
        <f>SUMPRODUCT($B84:$I84,$B$150:$I$150)</f>
        <v>0</v>
      </c>
      <c r="I162" s="6">
        <f>SUMPRODUCT($B84:$I84,$B$151:$I$151)</f>
        <v>0</v>
      </c>
      <c r="J162" s="6">
        <f>SUMPRODUCT($B84:$I84,$B$152:$I$152)</f>
        <v>0</v>
      </c>
      <c r="K162" s="10"/>
    </row>
    <row r="163" spans="1:11">
      <c r="A163" s="11" t="s">
        <v>210</v>
      </c>
      <c r="B163" s="6">
        <f>SUMPRODUCT($B85:$I85,$B$144:$I$144)</f>
        <v>0</v>
      </c>
      <c r="C163" s="6">
        <f>SUMPRODUCT($B85:$I85,$B$145:$I$145)</f>
        <v>0</v>
      </c>
      <c r="D163" s="6">
        <f>SUMPRODUCT($B85:$I85,$B$146:$I$146)</f>
        <v>0</v>
      </c>
      <c r="E163" s="6">
        <f>SUMPRODUCT($B85:$I85,$B$147:$I$147)</f>
        <v>0</v>
      </c>
      <c r="F163" s="6">
        <f>SUMPRODUCT($B85:$I85,$B$148:$I$148)</f>
        <v>0</v>
      </c>
      <c r="G163" s="6">
        <f>SUMPRODUCT($B85:$I85,$B$149:$I$149)</f>
        <v>0</v>
      </c>
      <c r="H163" s="6">
        <f>SUMPRODUCT($B85:$I85,$B$150:$I$150)</f>
        <v>0</v>
      </c>
      <c r="I163" s="6">
        <f>SUMPRODUCT($B85:$I85,$B$151:$I$151)</f>
        <v>0</v>
      </c>
      <c r="J163" s="6">
        <f>SUMPRODUCT($B85:$I85,$B$152:$I$152)</f>
        <v>0</v>
      </c>
      <c r="K163" s="10"/>
    </row>
    <row r="164" spans="1:11">
      <c r="A164" s="11" t="s">
        <v>174</v>
      </c>
      <c r="B164" s="6">
        <f>SUMPRODUCT($B86:$I86,$B$144:$I$144)</f>
        <v>0</v>
      </c>
      <c r="C164" s="6">
        <f>SUMPRODUCT($B86:$I86,$B$145:$I$145)</f>
        <v>0</v>
      </c>
      <c r="D164" s="6">
        <f>SUMPRODUCT($B86:$I86,$B$146:$I$146)</f>
        <v>0</v>
      </c>
      <c r="E164" s="6">
        <f>SUMPRODUCT($B86:$I86,$B$147:$I$147)</f>
        <v>0</v>
      </c>
      <c r="F164" s="6">
        <f>SUMPRODUCT($B86:$I86,$B$148:$I$148)</f>
        <v>0</v>
      </c>
      <c r="G164" s="6">
        <f>SUMPRODUCT($B86:$I86,$B$149:$I$149)</f>
        <v>0</v>
      </c>
      <c r="H164" s="6">
        <f>SUMPRODUCT($B86:$I86,$B$150:$I$150)</f>
        <v>0</v>
      </c>
      <c r="I164" s="6">
        <f>SUMPRODUCT($B86:$I86,$B$151:$I$151)</f>
        <v>0</v>
      </c>
      <c r="J164" s="6">
        <f>SUMPRODUCT($B86:$I86,$B$152:$I$152)</f>
        <v>0</v>
      </c>
      <c r="K164" s="10"/>
    </row>
    <row r="165" spans="1:11">
      <c r="A165" s="11" t="s">
        <v>175</v>
      </c>
      <c r="B165" s="6">
        <f>SUMPRODUCT($B87:$I87,$B$144:$I$144)</f>
        <v>0</v>
      </c>
      <c r="C165" s="6">
        <f>SUMPRODUCT($B87:$I87,$B$145:$I$145)</f>
        <v>0</v>
      </c>
      <c r="D165" s="6">
        <f>SUMPRODUCT($B87:$I87,$B$146:$I$146)</f>
        <v>0</v>
      </c>
      <c r="E165" s="6">
        <f>SUMPRODUCT($B87:$I87,$B$147:$I$147)</f>
        <v>0</v>
      </c>
      <c r="F165" s="6">
        <f>SUMPRODUCT($B87:$I87,$B$148:$I$148)</f>
        <v>0</v>
      </c>
      <c r="G165" s="6">
        <f>SUMPRODUCT($B87:$I87,$B$149:$I$149)</f>
        <v>0</v>
      </c>
      <c r="H165" s="6">
        <f>SUMPRODUCT($B87:$I87,$B$150:$I$150)</f>
        <v>0</v>
      </c>
      <c r="I165" s="6">
        <f>SUMPRODUCT($B87:$I87,$B$151:$I$151)</f>
        <v>0</v>
      </c>
      <c r="J165" s="6">
        <f>SUMPRODUCT($B87:$I87,$B$152:$I$152)</f>
        <v>0</v>
      </c>
      <c r="K165" s="10"/>
    </row>
    <row r="166" spans="1:11">
      <c r="A166" s="11" t="s">
        <v>211</v>
      </c>
      <c r="B166" s="6">
        <f>SUMPRODUCT($B88:$I88,$B$144:$I$144)</f>
        <v>0</v>
      </c>
      <c r="C166" s="6">
        <f>SUMPRODUCT($B88:$I88,$B$145:$I$145)</f>
        <v>0</v>
      </c>
      <c r="D166" s="6">
        <f>SUMPRODUCT($B88:$I88,$B$146:$I$146)</f>
        <v>0</v>
      </c>
      <c r="E166" s="6">
        <f>SUMPRODUCT($B88:$I88,$B$147:$I$147)</f>
        <v>0</v>
      </c>
      <c r="F166" s="6">
        <f>SUMPRODUCT($B88:$I88,$B$148:$I$148)</f>
        <v>0</v>
      </c>
      <c r="G166" s="6">
        <f>SUMPRODUCT($B88:$I88,$B$149:$I$149)</f>
        <v>0</v>
      </c>
      <c r="H166" s="6">
        <f>SUMPRODUCT($B88:$I88,$B$150:$I$150)</f>
        <v>0</v>
      </c>
      <c r="I166" s="6">
        <f>SUMPRODUCT($B88:$I88,$B$151:$I$151)</f>
        <v>0</v>
      </c>
      <c r="J166" s="6">
        <f>SUMPRODUCT($B88:$I88,$B$152:$I$152)</f>
        <v>0</v>
      </c>
      <c r="K166" s="10"/>
    </row>
    <row r="167" spans="1:11">
      <c r="A167" s="11" t="s">
        <v>176</v>
      </c>
      <c r="B167" s="6">
        <f>SUMPRODUCT($B89:$I89,$B$144:$I$144)</f>
        <v>0</v>
      </c>
      <c r="C167" s="6">
        <f>SUMPRODUCT($B89:$I89,$B$145:$I$145)</f>
        <v>0</v>
      </c>
      <c r="D167" s="6">
        <f>SUMPRODUCT($B89:$I89,$B$146:$I$146)</f>
        <v>0</v>
      </c>
      <c r="E167" s="6">
        <f>SUMPRODUCT($B89:$I89,$B$147:$I$147)</f>
        <v>0</v>
      </c>
      <c r="F167" s="6">
        <f>SUMPRODUCT($B89:$I89,$B$148:$I$148)</f>
        <v>0</v>
      </c>
      <c r="G167" s="6">
        <f>SUMPRODUCT($B89:$I89,$B$149:$I$149)</f>
        <v>0</v>
      </c>
      <c r="H167" s="6">
        <f>SUMPRODUCT($B89:$I89,$B$150:$I$150)</f>
        <v>0</v>
      </c>
      <c r="I167" s="6">
        <f>SUMPRODUCT($B89:$I89,$B$151:$I$151)</f>
        <v>0</v>
      </c>
      <c r="J167" s="6">
        <f>SUMPRODUCT($B89:$I89,$B$152:$I$152)</f>
        <v>0</v>
      </c>
      <c r="K167" s="10"/>
    </row>
    <row r="168" spans="1:11">
      <c r="A168" s="11" t="s">
        <v>177</v>
      </c>
      <c r="B168" s="6">
        <f>SUMPRODUCT($B90:$I90,$B$144:$I$144)</f>
        <v>0</v>
      </c>
      <c r="C168" s="6">
        <f>SUMPRODUCT($B90:$I90,$B$145:$I$145)</f>
        <v>0</v>
      </c>
      <c r="D168" s="6">
        <f>SUMPRODUCT($B90:$I90,$B$146:$I$146)</f>
        <v>0</v>
      </c>
      <c r="E168" s="6">
        <f>SUMPRODUCT($B90:$I90,$B$147:$I$147)</f>
        <v>0</v>
      </c>
      <c r="F168" s="6">
        <f>SUMPRODUCT($B90:$I90,$B$148:$I$148)</f>
        <v>0</v>
      </c>
      <c r="G168" s="6">
        <f>SUMPRODUCT($B90:$I90,$B$149:$I$149)</f>
        <v>0</v>
      </c>
      <c r="H168" s="6">
        <f>SUMPRODUCT($B90:$I90,$B$150:$I$150)</f>
        <v>0</v>
      </c>
      <c r="I168" s="6">
        <f>SUMPRODUCT($B90:$I90,$B$151:$I$151)</f>
        <v>0</v>
      </c>
      <c r="J168" s="6">
        <f>SUMPRODUCT($B90:$I90,$B$152:$I$152)</f>
        <v>0</v>
      </c>
      <c r="K168" s="10"/>
    </row>
    <row r="169" spans="1:11">
      <c r="A169" s="11" t="s">
        <v>191</v>
      </c>
      <c r="B169" s="6">
        <f>SUMPRODUCT($B91:$I91,$B$144:$I$144)</f>
        <v>0</v>
      </c>
      <c r="C169" s="6">
        <f>SUMPRODUCT($B91:$I91,$B$145:$I$145)</f>
        <v>0</v>
      </c>
      <c r="D169" s="6">
        <f>SUMPRODUCT($B91:$I91,$B$146:$I$146)</f>
        <v>0</v>
      </c>
      <c r="E169" s="6">
        <f>SUMPRODUCT($B91:$I91,$B$147:$I$147)</f>
        <v>0</v>
      </c>
      <c r="F169" s="6">
        <f>SUMPRODUCT($B91:$I91,$B$148:$I$148)</f>
        <v>0</v>
      </c>
      <c r="G169" s="6">
        <f>SUMPRODUCT($B91:$I91,$B$149:$I$149)</f>
        <v>0</v>
      </c>
      <c r="H169" s="6">
        <f>SUMPRODUCT($B91:$I91,$B$150:$I$150)</f>
        <v>0</v>
      </c>
      <c r="I169" s="6">
        <f>SUMPRODUCT($B91:$I91,$B$151:$I$151)</f>
        <v>0</v>
      </c>
      <c r="J169" s="6">
        <f>SUMPRODUCT($B91:$I91,$B$152:$I$152)</f>
        <v>0</v>
      </c>
      <c r="K169" s="10"/>
    </row>
    <row r="170" spans="1:11">
      <c r="A170" s="11" t="s">
        <v>178</v>
      </c>
      <c r="B170" s="6">
        <f>SUMPRODUCT($B92:$I92,$B$144:$I$144)</f>
        <v>0</v>
      </c>
      <c r="C170" s="6">
        <f>SUMPRODUCT($B92:$I92,$B$145:$I$145)</f>
        <v>0</v>
      </c>
      <c r="D170" s="6">
        <f>SUMPRODUCT($B92:$I92,$B$146:$I$146)</f>
        <v>0</v>
      </c>
      <c r="E170" s="6">
        <f>SUMPRODUCT($B92:$I92,$B$147:$I$147)</f>
        <v>0</v>
      </c>
      <c r="F170" s="6">
        <f>SUMPRODUCT($B92:$I92,$B$148:$I$148)</f>
        <v>0</v>
      </c>
      <c r="G170" s="6">
        <f>SUMPRODUCT($B92:$I92,$B$149:$I$149)</f>
        <v>0</v>
      </c>
      <c r="H170" s="6">
        <f>SUMPRODUCT($B92:$I92,$B$150:$I$150)</f>
        <v>0</v>
      </c>
      <c r="I170" s="6">
        <f>SUMPRODUCT($B92:$I92,$B$151:$I$151)</f>
        <v>0</v>
      </c>
      <c r="J170" s="6">
        <f>SUMPRODUCT($B92:$I92,$B$152:$I$152)</f>
        <v>0</v>
      </c>
      <c r="K170" s="10"/>
    </row>
    <row r="171" spans="1:11">
      <c r="A171" s="11" t="s">
        <v>179</v>
      </c>
      <c r="B171" s="6">
        <f>SUMPRODUCT($B93:$I93,$B$144:$I$144)</f>
        <v>0</v>
      </c>
      <c r="C171" s="6">
        <f>SUMPRODUCT($B93:$I93,$B$145:$I$145)</f>
        <v>0</v>
      </c>
      <c r="D171" s="6">
        <f>SUMPRODUCT($B93:$I93,$B$146:$I$146)</f>
        <v>0</v>
      </c>
      <c r="E171" s="6">
        <f>SUMPRODUCT($B93:$I93,$B$147:$I$147)</f>
        <v>0</v>
      </c>
      <c r="F171" s="6">
        <f>SUMPRODUCT($B93:$I93,$B$148:$I$148)</f>
        <v>0</v>
      </c>
      <c r="G171" s="6">
        <f>SUMPRODUCT($B93:$I93,$B$149:$I$149)</f>
        <v>0</v>
      </c>
      <c r="H171" s="6">
        <f>SUMPRODUCT($B93:$I93,$B$150:$I$150)</f>
        <v>0</v>
      </c>
      <c r="I171" s="6">
        <f>SUMPRODUCT($B93:$I93,$B$151:$I$151)</f>
        <v>0</v>
      </c>
      <c r="J171" s="6">
        <f>SUMPRODUCT($B93:$I93,$B$152:$I$152)</f>
        <v>0</v>
      </c>
      <c r="K171" s="10"/>
    </row>
    <row r="172" spans="1:11">
      <c r="A172" s="11" t="s">
        <v>192</v>
      </c>
      <c r="B172" s="6">
        <f>SUMPRODUCT($B94:$I94,$B$144:$I$144)</f>
        <v>0</v>
      </c>
      <c r="C172" s="6">
        <f>SUMPRODUCT($B94:$I94,$B$145:$I$145)</f>
        <v>0</v>
      </c>
      <c r="D172" s="6">
        <f>SUMPRODUCT($B94:$I94,$B$146:$I$146)</f>
        <v>0</v>
      </c>
      <c r="E172" s="6">
        <f>SUMPRODUCT($B94:$I94,$B$147:$I$147)</f>
        <v>0</v>
      </c>
      <c r="F172" s="6">
        <f>SUMPRODUCT($B94:$I94,$B$148:$I$148)</f>
        <v>0</v>
      </c>
      <c r="G172" s="6">
        <f>SUMPRODUCT($B94:$I94,$B$149:$I$149)</f>
        <v>0</v>
      </c>
      <c r="H172" s="6">
        <f>SUMPRODUCT($B94:$I94,$B$150:$I$150)</f>
        <v>0</v>
      </c>
      <c r="I172" s="6">
        <f>SUMPRODUCT($B94:$I94,$B$151:$I$151)</f>
        <v>0</v>
      </c>
      <c r="J172" s="6">
        <f>SUMPRODUCT($B94:$I94,$B$152:$I$152)</f>
        <v>0</v>
      </c>
      <c r="K172" s="10"/>
    </row>
    <row r="173" spans="1:11">
      <c r="A173" s="11" t="s">
        <v>212</v>
      </c>
      <c r="B173" s="6">
        <f>SUMPRODUCT($B95:$I95,$B$144:$I$144)</f>
        <v>0</v>
      </c>
      <c r="C173" s="6">
        <f>SUMPRODUCT($B95:$I95,$B$145:$I$145)</f>
        <v>0</v>
      </c>
      <c r="D173" s="6">
        <f>SUMPRODUCT($B95:$I95,$B$146:$I$146)</f>
        <v>0</v>
      </c>
      <c r="E173" s="6">
        <f>SUMPRODUCT($B95:$I95,$B$147:$I$147)</f>
        <v>0</v>
      </c>
      <c r="F173" s="6">
        <f>SUMPRODUCT($B95:$I95,$B$148:$I$148)</f>
        <v>0</v>
      </c>
      <c r="G173" s="6">
        <f>SUMPRODUCT($B95:$I95,$B$149:$I$149)</f>
        <v>0</v>
      </c>
      <c r="H173" s="6">
        <f>SUMPRODUCT($B95:$I95,$B$150:$I$150)</f>
        <v>0</v>
      </c>
      <c r="I173" s="6">
        <f>SUMPRODUCT($B95:$I95,$B$151:$I$151)</f>
        <v>0</v>
      </c>
      <c r="J173" s="6">
        <f>SUMPRODUCT($B95:$I95,$B$152:$I$152)</f>
        <v>0</v>
      </c>
      <c r="K173" s="10"/>
    </row>
    <row r="174" spans="1:11">
      <c r="A174" s="11" t="s">
        <v>213</v>
      </c>
      <c r="B174" s="6">
        <f>SUMPRODUCT($B96:$I96,$B$144:$I$144)</f>
        <v>0</v>
      </c>
      <c r="C174" s="6">
        <f>SUMPRODUCT($B96:$I96,$B$145:$I$145)</f>
        <v>0</v>
      </c>
      <c r="D174" s="6">
        <f>SUMPRODUCT($B96:$I96,$B$146:$I$146)</f>
        <v>0</v>
      </c>
      <c r="E174" s="6">
        <f>SUMPRODUCT($B96:$I96,$B$147:$I$147)</f>
        <v>0</v>
      </c>
      <c r="F174" s="6">
        <f>SUMPRODUCT($B96:$I96,$B$148:$I$148)</f>
        <v>0</v>
      </c>
      <c r="G174" s="6">
        <f>SUMPRODUCT($B96:$I96,$B$149:$I$149)</f>
        <v>0</v>
      </c>
      <c r="H174" s="6">
        <f>SUMPRODUCT($B96:$I96,$B$150:$I$150)</f>
        <v>0</v>
      </c>
      <c r="I174" s="6">
        <f>SUMPRODUCT($B96:$I96,$B$151:$I$151)</f>
        <v>0</v>
      </c>
      <c r="J174" s="6">
        <f>SUMPRODUCT($B96:$I96,$B$152:$I$152)</f>
        <v>0</v>
      </c>
      <c r="K174" s="10"/>
    </row>
    <row r="175" spans="1:11">
      <c r="A175" s="11" t="s">
        <v>214</v>
      </c>
      <c r="B175" s="6">
        <f>SUMPRODUCT($B97:$I97,$B$144:$I$144)</f>
        <v>0</v>
      </c>
      <c r="C175" s="6">
        <f>SUMPRODUCT($B97:$I97,$B$145:$I$145)</f>
        <v>0</v>
      </c>
      <c r="D175" s="6">
        <f>SUMPRODUCT($B97:$I97,$B$146:$I$146)</f>
        <v>0</v>
      </c>
      <c r="E175" s="6">
        <f>SUMPRODUCT($B97:$I97,$B$147:$I$147)</f>
        <v>0</v>
      </c>
      <c r="F175" s="6">
        <f>SUMPRODUCT($B97:$I97,$B$148:$I$148)</f>
        <v>0</v>
      </c>
      <c r="G175" s="6">
        <f>SUMPRODUCT($B97:$I97,$B$149:$I$149)</f>
        <v>0</v>
      </c>
      <c r="H175" s="6">
        <f>SUMPRODUCT($B97:$I97,$B$150:$I$150)</f>
        <v>0</v>
      </c>
      <c r="I175" s="6">
        <f>SUMPRODUCT($B97:$I97,$B$151:$I$151)</f>
        <v>0</v>
      </c>
      <c r="J175" s="6">
        <f>SUMPRODUCT($B97:$I97,$B$152:$I$152)</f>
        <v>0</v>
      </c>
      <c r="K175" s="10"/>
    </row>
    <row r="176" spans="1:11">
      <c r="A176" s="11" t="s">
        <v>215</v>
      </c>
      <c r="B176" s="6">
        <f>SUMPRODUCT($B98:$I98,$B$144:$I$144)</f>
        <v>0</v>
      </c>
      <c r="C176" s="6">
        <f>SUMPRODUCT($B98:$I98,$B$145:$I$145)</f>
        <v>0</v>
      </c>
      <c r="D176" s="6">
        <f>SUMPRODUCT($B98:$I98,$B$146:$I$146)</f>
        <v>0</v>
      </c>
      <c r="E176" s="6">
        <f>SUMPRODUCT($B98:$I98,$B$147:$I$147)</f>
        <v>0</v>
      </c>
      <c r="F176" s="6">
        <f>SUMPRODUCT($B98:$I98,$B$148:$I$148)</f>
        <v>0</v>
      </c>
      <c r="G176" s="6">
        <f>SUMPRODUCT($B98:$I98,$B$149:$I$149)</f>
        <v>0</v>
      </c>
      <c r="H176" s="6">
        <f>SUMPRODUCT($B98:$I98,$B$150:$I$150)</f>
        <v>0</v>
      </c>
      <c r="I176" s="6">
        <f>SUMPRODUCT($B98:$I98,$B$151:$I$151)</f>
        <v>0</v>
      </c>
      <c r="J176" s="6">
        <f>SUMPRODUCT($B98:$I98,$B$152:$I$152)</f>
        <v>0</v>
      </c>
      <c r="K176" s="10"/>
    </row>
    <row r="177" spans="1:11">
      <c r="A177" s="11" t="s">
        <v>216</v>
      </c>
      <c r="B177" s="6">
        <f>SUMPRODUCT($B99:$I99,$B$144:$I$144)</f>
        <v>0</v>
      </c>
      <c r="C177" s="6">
        <f>SUMPRODUCT($B99:$I99,$B$145:$I$145)</f>
        <v>0</v>
      </c>
      <c r="D177" s="6">
        <f>SUMPRODUCT($B99:$I99,$B$146:$I$146)</f>
        <v>0</v>
      </c>
      <c r="E177" s="6">
        <f>SUMPRODUCT($B99:$I99,$B$147:$I$147)</f>
        <v>0</v>
      </c>
      <c r="F177" s="6">
        <f>SUMPRODUCT($B99:$I99,$B$148:$I$148)</f>
        <v>0</v>
      </c>
      <c r="G177" s="6">
        <f>SUMPRODUCT($B99:$I99,$B$149:$I$149)</f>
        <v>0</v>
      </c>
      <c r="H177" s="6">
        <f>SUMPRODUCT($B99:$I99,$B$150:$I$150)</f>
        <v>0</v>
      </c>
      <c r="I177" s="6">
        <f>SUMPRODUCT($B99:$I99,$B$151:$I$151)</f>
        <v>0</v>
      </c>
      <c r="J177" s="6">
        <f>SUMPRODUCT($B99:$I99,$B$152:$I$152)</f>
        <v>0</v>
      </c>
      <c r="K177" s="10"/>
    </row>
    <row r="178" spans="1:11">
      <c r="A178" s="11" t="s">
        <v>180</v>
      </c>
      <c r="B178" s="6">
        <f>SUMPRODUCT($B100:$I100,$B$144:$I$144)</f>
        <v>0</v>
      </c>
      <c r="C178" s="6">
        <f>SUMPRODUCT($B100:$I100,$B$145:$I$145)</f>
        <v>0</v>
      </c>
      <c r="D178" s="6">
        <f>SUMPRODUCT($B100:$I100,$B$146:$I$146)</f>
        <v>0</v>
      </c>
      <c r="E178" s="6">
        <f>SUMPRODUCT($B100:$I100,$B$147:$I$147)</f>
        <v>0</v>
      </c>
      <c r="F178" s="6">
        <f>SUMPRODUCT($B100:$I100,$B$148:$I$148)</f>
        <v>0</v>
      </c>
      <c r="G178" s="6">
        <f>SUMPRODUCT($B100:$I100,$B$149:$I$149)</f>
        <v>0</v>
      </c>
      <c r="H178" s="6">
        <f>SUMPRODUCT($B100:$I100,$B$150:$I$150)</f>
        <v>0</v>
      </c>
      <c r="I178" s="6">
        <f>SUMPRODUCT($B100:$I100,$B$151:$I$151)</f>
        <v>0</v>
      </c>
      <c r="J178" s="6">
        <f>SUMPRODUCT($B100:$I100,$B$152:$I$152)</f>
        <v>0</v>
      </c>
      <c r="K178" s="10"/>
    </row>
    <row r="179" spans="1:11">
      <c r="A179" s="11" t="s">
        <v>181</v>
      </c>
      <c r="B179" s="6">
        <f>SUMPRODUCT($B101:$I101,$B$144:$I$144)</f>
        <v>0</v>
      </c>
      <c r="C179" s="6">
        <f>SUMPRODUCT($B101:$I101,$B$145:$I$145)</f>
        <v>0</v>
      </c>
      <c r="D179" s="6">
        <f>SUMPRODUCT($B101:$I101,$B$146:$I$146)</f>
        <v>0</v>
      </c>
      <c r="E179" s="6">
        <f>SUMPRODUCT($B101:$I101,$B$147:$I$147)</f>
        <v>0</v>
      </c>
      <c r="F179" s="6">
        <f>SUMPRODUCT($B101:$I101,$B$148:$I$148)</f>
        <v>0</v>
      </c>
      <c r="G179" s="6">
        <f>SUMPRODUCT($B101:$I101,$B$149:$I$149)</f>
        <v>0</v>
      </c>
      <c r="H179" s="6">
        <f>SUMPRODUCT($B101:$I101,$B$150:$I$150)</f>
        <v>0</v>
      </c>
      <c r="I179" s="6">
        <f>SUMPRODUCT($B101:$I101,$B$151:$I$151)</f>
        <v>0</v>
      </c>
      <c r="J179" s="6">
        <f>SUMPRODUCT($B101:$I101,$B$152:$I$152)</f>
        <v>0</v>
      </c>
      <c r="K179" s="10"/>
    </row>
    <row r="180" spans="1:11">
      <c r="A180" s="11" t="s">
        <v>182</v>
      </c>
      <c r="B180" s="6">
        <f>SUMPRODUCT($B102:$I102,$B$144:$I$144)</f>
        <v>0</v>
      </c>
      <c r="C180" s="6">
        <f>SUMPRODUCT($B102:$I102,$B$145:$I$145)</f>
        <v>0</v>
      </c>
      <c r="D180" s="6">
        <f>SUMPRODUCT($B102:$I102,$B$146:$I$146)</f>
        <v>0</v>
      </c>
      <c r="E180" s="6">
        <f>SUMPRODUCT($B102:$I102,$B$147:$I$147)</f>
        <v>0</v>
      </c>
      <c r="F180" s="6">
        <f>SUMPRODUCT($B102:$I102,$B$148:$I$148)</f>
        <v>0</v>
      </c>
      <c r="G180" s="6">
        <f>SUMPRODUCT($B102:$I102,$B$149:$I$149)</f>
        <v>0</v>
      </c>
      <c r="H180" s="6">
        <f>SUMPRODUCT($B102:$I102,$B$150:$I$150)</f>
        <v>0</v>
      </c>
      <c r="I180" s="6">
        <f>SUMPRODUCT($B102:$I102,$B$151:$I$151)</f>
        <v>0</v>
      </c>
      <c r="J180" s="6">
        <f>SUMPRODUCT($B102:$I102,$B$152:$I$152)</f>
        <v>0</v>
      </c>
      <c r="K180" s="10"/>
    </row>
    <row r="181" spans="1:11">
      <c r="A181" s="11" t="s">
        <v>183</v>
      </c>
      <c r="B181" s="6">
        <f>SUMPRODUCT($B103:$I103,$B$144:$I$144)</f>
        <v>0</v>
      </c>
      <c r="C181" s="6">
        <f>SUMPRODUCT($B103:$I103,$B$145:$I$145)</f>
        <v>0</v>
      </c>
      <c r="D181" s="6">
        <f>SUMPRODUCT($B103:$I103,$B$146:$I$146)</f>
        <v>0</v>
      </c>
      <c r="E181" s="6">
        <f>SUMPRODUCT($B103:$I103,$B$147:$I$147)</f>
        <v>0</v>
      </c>
      <c r="F181" s="6">
        <f>SUMPRODUCT($B103:$I103,$B$148:$I$148)</f>
        <v>0</v>
      </c>
      <c r="G181" s="6">
        <f>SUMPRODUCT($B103:$I103,$B$149:$I$149)</f>
        <v>0</v>
      </c>
      <c r="H181" s="6">
        <f>SUMPRODUCT($B103:$I103,$B$150:$I$150)</f>
        <v>0</v>
      </c>
      <c r="I181" s="6">
        <f>SUMPRODUCT($B103:$I103,$B$151:$I$151)</f>
        <v>0</v>
      </c>
      <c r="J181" s="6">
        <f>SUMPRODUCT($B103:$I103,$B$152:$I$152)</f>
        <v>0</v>
      </c>
      <c r="K181" s="10"/>
    </row>
    <row r="182" spans="1:11">
      <c r="A182" s="11" t="s">
        <v>184</v>
      </c>
      <c r="B182" s="6">
        <f>SUMPRODUCT($B104:$I104,$B$144:$I$144)</f>
        <v>0</v>
      </c>
      <c r="C182" s="6">
        <f>SUMPRODUCT($B104:$I104,$B$145:$I$145)</f>
        <v>0</v>
      </c>
      <c r="D182" s="6">
        <f>SUMPRODUCT($B104:$I104,$B$146:$I$146)</f>
        <v>0</v>
      </c>
      <c r="E182" s="6">
        <f>SUMPRODUCT($B104:$I104,$B$147:$I$147)</f>
        <v>0</v>
      </c>
      <c r="F182" s="6">
        <f>SUMPRODUCT($B104:$I104,$B$148:$I$148)</f>
        <v>0</v>
      </c>
      <c r="G182" s="6">
        <f>SUMPRODUCT($B104:$I104,$B$149:$I$149)</f>
        <v>0</v>
      </c>
      <c r="H182" s="6">
        <f>SUMPRODUCT($B104:$I104,$B$150:$I$150)</f>
        <v>0</v>
      </c>
      <c r="I182" s="6">
        <f>SUMPRODUCT($B104:$I104,$B$151:$I$151)</f>
        <v>0</v>
      </c>
      <c r="J182" s="6">
        <f>SUMPRODUCT($B104:$I104,$B$152:$I$152)</f>
        <v>0</v>
      </c>
      <c r="K182" s="10"/>
    </row>
    <row r="183" spans="1:11">
      <c r="A183" s="11" t="s">
        <v>185</v>
      </c>
      <c r="B183" s="6">
        <f>SUMPRODUCT($B105:$I105,$B$144:$I$144)</f>
        <v>0</v>
      </c>
      <c r="C183" s="6">
        <f>SUMPRODUCT($B105:$I105,$B$145:$I$145)</f>
        <v>0</v>
      </c>
      <c r="D183" s="6">
        <f>SUMPRODUCT($B105:$I105,$B$146:$I$146)</f>
        <v>0</v>
      </c>
      <c r="E183" s="6">
        <f>SUMPRODUCT($B105:$I105,$B$147:$I$147)</f>
        <v>0</v>
      </c>
      <c r="F183" s="6">
        <f>SUMPRODUCT($B105:$I105,$B$148:$I$148)</f>
        <v>0</v>
      </c>
      <c r="G183" s="6">
        <f>SUMPRODUCT($B105:$I105,$B$149:$I$149)</f>
        <v>0</v>
      </c>
      <c r="H183" s="6">
        <f>SUMPRODUCT($B105:$I105,$B$150:$I$150)</f>
        <v>0</v>
      </c>
      <c r="I183" s="6">
        <f>SUMPRODUCT($B105:$I105,$B$151:$I$151)</f>
        <v>0</v>
      </c>
      <c r="J183" s="6">
        <f>SUMPRODUCT($B105:$I105,$B$152:$I$152)</f>
        <v>0</v>
      </c>
      <c r="K183" s="10"/>
    </row>
    <row r="184" spans="1:11">
      <c r="A184" s="11" t="s">
        <v>193</v>
      </c>
      <c r="B184" s="6">
        <f>SUMPRODUCT($B106:$I106,$B$144:$I$144)</f>
        <v>0</v>
      </c>
      <c r="C184" s="6">
        <f>SUMPRODUCT($B106:$I106,$B$145:$I$145)</f>
        <v>0</v>
      </c>
      <c r="D184" s="6">
        <f>SUMPRODUCT($B106:$I106,$B$146:$I$146)</f>
        <v>0</v>
      </c>
      <c r="E184" s="6">
        <f>SUMPRODUCT($B106:$I106,$B$147:$I$147)</f>
        <v>0</v>
      </c>
      <c r="F184" s="6">
        <f>SUMPRODUCT($B106:$I106,$B$148:$I$148)</f>
        <v>0</v>
      </c>
      <c r="G184" s="6">
        <f>SUMPRODUCT($B106:$I106,$B$149:$I$149)</f>
        <v>0</v>
      </c>
      <c r="H184" s="6">
        <f>SUMPRODUCT($B106:$I106,$B$150:$I$150)</f>
        <v>0</v>
      </c>
      <c r="I184" s="6">
        <f>SUMPRODUCT($B106:$I106,$B$151:$I$151)</f>
        <v>0</v>
      </c>
      <c r="J184" s="6">
        <f>SUMPRODUCT($B106:$I106,$B$152:$I$152)</f>
        <v>0</v>
      </c>
      <c r="K184" s="10"/>
    </row>
    <row r="185" spans="1:11">
      <c r="A185" s="11" t="s">
        <v>194</v>
      </c>
      <c r="B185" s="6">
        <f>SUMPRODUCT($B107:$I107,$B$144:$I$144)</f>
        <v>0</v>
      </c>
      <c r="C185" s="6">
        <f>SUMPRODUCT($B107:$I107,$B$145:$I$145)</f>
        <v>0</v>
      </c>
      <c r="D185" s="6">
        <f>SUMPRODUCT($B107:$I107,$B$146:$I$146)</f>
        <v>0</v>
      </c>
      <c r="E185" s="6">
        <f>SUMPRODUCT($B107:$I107,$B$147:$I$147)</f>
        <v>0</v>
      </c>
      <c r="F185" s="6">
        <f>SUMPRODUCT($B107:$I107,$B$148:$I$148)</f>
        <v>0</v>
      </c>
      <c r="G185" s="6">
        <f>SUMPRODUCT($B107:$I107,$B$149:$I$149)</f>
        <v>0</v>
      </c>
      <c r="H185" s="6">
        <f>SUMPRODUCT($B107:$I107,$B$150:$I$150)</f>
        <v>0</v>
      </c>
      <c r="I185" s="6">
        <f>SUMPRODUCT($B107:$I107,$B$151:$I$151)</f>
        <v>0</v>
      </c>
      <c r="J185" s="6">
        <f>SUMPRODUCT($B107:$I107,$B$152:$I$152)</f>
        <v>0</v>
      </c>
      <c r="K185" s="10"/>
    </row>
    <row r="187" spans="1:11">
      <c r="A187" s="1" t="s">
        <v>388</v>
      </c>
    </row>
    <row r="188" spans="1:11">
      <c r="A188" s="2" t="s">
        <v>349</v>
      </c>
    </row>
    <row r="189" spans="1:11">
      <c r="A189" s="2" t="s">
        <v>389</v>
      </c>
    </row>
    <row r="190" spans="1:11">
      <c r="A190" s="2" t="s">
        <v>390</v>
      </c>
    </row>
    <row r="191" spans="1:11">
      <c r="A191" s="12" t="s">
        <v>391</v>
      </c>
    </row>
    <row r="192" spans="1:11">
      <c r="A192" s="2" t="s">
        <v>392</v>
      </c>
    </row>
    <row r="194" spans="1:11">
      <c r="B194" s="3" t="s">
        <v>140</v>
      </c>
      <c r="C194" s="3" t="s">
        <v>141</v>
      </c>
      <c r="D194" s="3" t="s">
        <v>142</v>
      </c>
      <c r="E194" s="3" t="s">
        <v>143</v>
      </c>
      <c r="F194" s="3" t="s">
        <v>144</v>
      </c>
      <c r="G194" s="3" t="s">
        <v>149</v>
      </c>
      <c r="H194" s="3" t="s">
        <v>145</v>
      </c>
      <c r="I194" s="3" t="s">
        <v>146</v>
      </c>
      <c r="J194" s="3" t="s">
        <v>147</v>
      </c>
    </row>
    <row r="195" spans="1:11">
      <c r="A195" s="11" t="s">
        <v>172</v>
      </c>
      <c r="B195" s="7">
        <f>B161</f>
        <v>0</v>
      </c>
      <c r="C195" s="7">
        <f>C161</f>
        <v>0</v>
      </c>
      <c r="D195" s="7">
        <f>D161</f>
        <v>0</v>
      </c>
      <c r="E195" s="7">
        <f>E161</f>
        <v>0</v>
      </c>
      <c r="F195" s="7">
        <f>F161</f>
        <v>0</v>
      </c>
      <c r="G195" s="7">
        <f>G161</f>
        <v>0</v>
      </c>
      <c r="H195" s="7">
        <f>H161</f>
        <v>0</v>
      </c>
      <c r="I195" s="7">
        <f>I161</f>
        <v>0</v>
      </c>
      <c r="J195" s="7">
        <f>J161</f>
        <v>0</v>
      </c>
      <c r="K195" s="10"/>
    </row>
    <row r="196" spans="1:11">
      <c r="A196" s="11" t="s">
        <v>173</v>
      </c>
      <c r="B196" s="7">
        <f>B162</f>
        <v>0</v>
      </c>
      <c r="C196" s="7">
        <f>C162</f>
        <v>0</v>
      </c>
      <c r="D196" s="7">
        <f>D162</f>
        <v>0</v>
      </c>
      <c r="E196" s="7">
        <f>E162</f>
        <v>0</v>
      </c>
      <c r="F196" s="7">
        <f>F162</f>
        <v>0</v>
      </c>
      <c r="G196" s="7">
        <f>G162</f>
        <v>0</v>
      </c>
      <c r="H196" s="7">
        <f>H162</f>
        <v>0</v>
      </c>
      <c r="I196" s="7">
        <f>I162</f>
        <v>0</v>
      </c>
      <c r="J196" s="7">
        <f>J162</f>
        <v>0</v>
      </c>
      <c r="K196" s="10"/>
    </row>
    <row r="197" spans="1:11">
      <c r="A197" s="11" t="s">
        <v>210</v>
      </c>
      <c r="B197" s="7">
        <f>B163</f>
        <v>0</v>
      </c>
      <c r="C197" s="7">
        <f>C163</f>
        <v>0</v>
      </c>
      <c r="D197" s="7">
        <f>D163</f>
        <v>0</v>
      </c>
      <c r="E197" s="7">
        <f>E163</f>
        <v>0</v>
      </c>
      <c r="F197" s="7">
        <f>F163</f>
        <v>0</v>
      </c>
      <c r="G197" s="7">
        <f>G163</f>
        <v>0</v>
      </c>
      <c r="H197" s="7">
        <f>H163</f>
        <v>0</v>
      </c>
      <c r="I197" s="7">
        <f>I163</f>
        <v>0</v>
      </c>
      <c r="J197" s="7">
        <f>J163</f>
        <v>0</v>
      </c>
      <c r="K197" s="10"/>
    </row>
    <row r="198" spans="1:11">
      <c r="A198" s="11" t="s">
        <v>174</v>
      </c>
      <c r="B198" s="7">
        <f>B164</f>
        <v>0</v>
      </c>
      <c r="C198" s="7">
        <f>C164</f>
        <v>0</v>
      </c>
      <c r="D198" s="7">
        <f>D164</f>
        <v>0</v>
      </c>
      <c r="E198" s="7">
        <f>E164</f>
        <v>0</v>
      </c>
      <c r="F198" s="7">
        <f>F164</f>
        <v>0</v>
      </c>
      <c r="G198" s="7">
        <f>G164</f>
        <v>0</v>
      </c>
      <c r="H198" s="7">
        <f>H164</f>
        <v>0</v>
      </c>
      <c r="I198" s="7">
        <f>I164</f>
        <v>0</v>
      </c>
      <c r="J198" s="7">
        <f>J164</f>
        <v>0</v>
      </c>
      <c r="K198" s="10"/>
    </row>
    <row r="199" spans="1:11">
      <c r="A199" s="11" t="s">
        <v>175</v>
      </c>
      <c r="B199" s="7">
        <f>B165</f>
        <v>0</v>
      </c>
      <c r="C199" s="7">
        <f>C165</f>
        <v>0</v>
      </c>
      <c r="D199" s="7">
        <f>D165</f>
        <v>0</v>
      </c>
      <c r="E199" s="7">
        <f>E165</f>
        <v>0</v>
      </c>
      <c r="F199" s="7">
        <f>F165</f>
        <v>0</v>
      </c>
      <c r="G199" s="7">
        <f>G165</f>
        <v>0</v>
      </c>
      <c r="H199" s="7">
        <f>H165</f>
        <v>0</v>
      </c>
      <c r="I199" s="7">
        <f>I165</f>
        <v>0</v>
      </c>
      <c r="J199" s="7">
        <f>J165</f>
        <v>0</v>
      </c>
      <c r="K199" s="10"/>
    </row>
    <row r="200" spans="1:11">
      <c r="A200" s="11" t="s">
        <v>211</v>
      </c>
      <c r="B200" s="7">
        <f>B166</f>
        <v>0</v>
      </c>
      <c r="C200" s="7">
        <f>C166</f>
        <v>0</v>
      </c>
      <c r="D200" s="7">
        <f>D166</f>
        <v>0</v>
      </c>
      <c r="E200" s="7">
        <f>E166</f>
        <v>0</v>
      </c>
      <c r="F200" s="7">
        <f>F166</f>
        <v>0</v>
      </c>
      <c r="G200" s="7">
        <f>G166</f>
        <v>0</v>
      </c>
      <c r="H200" s="7">
        <f>H166</f>
        <v>0</v>
      </c>
      <c r="I200" s="7">
        <f>I166</f>
        <v>0</v>
      </c>
      <c r="J200" s="7">
        <f>J166</f>
        <v>0</v>
      </c>
      <c r="K200" s="10"/>
    </row>
    <row r="201" spans="1:11">
      <c r="A201" s="11" t="s">
        <v>176</v>
      </c>
      <c r="B201" s="7">
        <f>B167</f>
        <v>0</v>
      </c>
      <c r="C201" s="7">
        <f>C167</f>
        <v>0</v>
      </c>
      <c r="D201" s="7">
        <f>D167</f>
        <v>0</v>
      </c>
      <c r="E201" s="7">
        <f>E167</f>
        <v>0</v>
      </c>
      <c r="F201" s="7">
        <f>F167</f>
        <v>0</v>
      </c>
      <c r="G201" s="7">
        <f>G167</f>
        <v>0</v>
      </c>
      <c r="H201" s="7">
        <f>H167</f>
        <v>0</v>
      </c>
      <c r="I201" s="7">
        <f>I167</f>
        <v>0</v>
      </c>
      <c r="J201" s="7">
        <f>J167</f>
        <v>0</v>
      </c>
      <c r="K201" s="10"/>
    </row>
    <row r="202" spans="1:11">
      <c r="A202" s="11" t="s">
        <v>177</v>
      </c>
      <c r="B202" s="7">
        <f>B168</f>
        <v>0</v>
      </c>
      <c r="C202" s="7">
        <f>C168</f>
        <v>0</v>
      </c>
      <c r="D202" s="7">
        <f>D168</f>
        <v>0</v>
      </c>
      <c r="E202" s="7">
        <f>E168</f>
        <v>0</v>
      </c>
      <c r="F202" s="7">
        <f>F168</f>
        <v>0</v>
      </c>
      <c r="G202" s="7">
        <f>G168</f>
        <v>0</v>
      </c>
      <c r="H202" s="7">
        <f>H168</f>
        <v>0</v>
      </c>
      <c r="I202" s="7">
        <f>I168</f>
        <v>0</v>
      </c>
      <c r="J202" s="7">
        <f>J168</f>
        <v>0</v>
      </c>
      <c r="K202" s="10"/>
    </row>
    <row r="203" spans="1:11">
      <c r="A203" s="11" t="s">
        <v>191</v>
      </c>
      <c r="B203" s="7">
        <f>B169</f>
        <v>0</v>
      </c>
      <c r="C203" s="7">
        <f>C169</f>
        <v>0</v>
      </c>
      <c r="D203" s="7">
        <f>D169</f>
        <v>0</v>
      </c>
      <c r="E203" s="7">
        <f>E169</f>
        <v>0</v>
      </c>
      <c r="F203" s="7">
        <f>F169</f>
        <v>0</v>
      </c>
      <c r="G203" s="7">
        <f>G169</f>
        <v>0</v>
      </c>
      <c r="H203" s="7">
        <f>H169</f>
        <v>0</v>
      </c>
      <c r="I203" s="7">
        <f>I169</f>
        <v>0</v>
      </c>
      <c r="J203" s="7">
        <f>J169</f>
        <v>0</v>
      </c>
      <c r="K203" s="10"/>
    </row>
    <row r="204" spans="1:11">
      <c r="A204" s="11" t="s">
        <v>178</v>
      </c>
      <c r="B204" s="7">
        <f>B170</f>
        <v>0</v>
      </c>
      <c r="C204" s="7">
        <f>C170</f>
        <v>0</v>
      </c>
      <c r="D204" s="7">
        <f>D170</f>
        <v>0</v>
      </c>
      <c r="E204" s="7">
        <f>E170</f>
        <v>0</v>
      </c>
      <c r="F204" s="7">
        <f>F170</f>
        <v>0</v>
      </c>
      <c r="G204" s="7">
        <f>G170</f>
        <v>0</v>
      </c>
      <c r="H204" s="7">
        <f>H170</f>
        <v>0</v>
      </c>
      <c r="I204" s="7">
        <f>I170</f>
        <v>0</v>
      </c>
      <c r="J204" s="7">
        <f>J170</f>
        <v>0</v>
      </c>
      <c r="K204" s="10"/>
    </row>
    <row r="205" spans="1:11">
      <c r="A205" s="11" t="s">
        <v>179</v>
      </c>
      <c r="B205" s="7">
        <f>B171</f>
        <v>0</v>
      </c>
      <c r="C205" s="7">
        <f>C171</f>
        <v>0</v>
      </c>
      <c r="D205" s="7">
        <f>D171</f>
        <v>0</v>
      </c>
      <c r="E205" s="7">
        <f>E171</f>
        <v>0</v>
      </c>
      <c r="F205" s="7">
        <f>F171</f>
        <v>0</v>
      </c>
      <c r="G205" s="7">
        <f>G171</f>
        <v>0</v>
      </c>
      <c r="H205" s="7">
        <f>H171</f>
        <v>0</v>
      </c>
      <c r="I205" s="7">
        <f>I171</f>
        <v>0</v>
      </c>
      <c r="J205" s="7">
        <f>J171</f>
        <v>0</v>
      </c>
      <c r="K205" s="10"/>
    </row>
    <row r="206" spans="1:11">
      <c r="A206" s="11" t="s">
        <v>192</v>
      </c>
      <c r="B206" s="7">
        <f>B172</f>
        <v>0</v>
      </c>
      <c r="C206" s="7">
        <f>C172</f>
        <v>0</v>
      </c>
      <c r="D206" s="7">
        <f>D172</f>
        <v>0</v>
      </c>
      <c r="E206" s="7">
        <f>E172</f>
        <v>0</v>
      </c>
      <c r="F206" s="7">
        <f>F172</f>
        <v>0</v>
      </c>
      <c r="G206" s="7">
        <f>G172</f>
        <v>0</v>
      </c>
      <c r="H206" s="7">
        <f>H172</f>
        <v>0</v>
      </c>
      <c r="I206" s="7">
        <f>I172</f>
        <v>0</v>
      </c>
      <c r="J206" s="7">
        <f>J172</f>
        <v>0</v>
      </c>
      <c r="K206" s="10"/>
    </row>
    <row r="207" spans="1:11">
      <c r="A207" s="11" t="s">
        <v>212</v>
      </c>
      <c r="B207" s="7">
        <f>B173</f>
        <v>0</v>
      </c>
      <c r="C207" s="7">
        <f>C173</f>
        <v>0</v>
      </c>
      <c r="D207" s="7">
        <f>D173</f>
        <v>0</v>
      </c>
      <c r="E207" s="7">
        <f>E173</f>
        <v>0</v>
      </c>
      <c r="F207" s="7">
        <f>F173</f>
        <v>0</v>
      </c>
      <c r="G207" s="7">
        <f>G173</f>
        <v>0</v>
      </c>
      <c r="H207" s="7">
        <f>H173</f>
        <v>0</v>
      </c>
      <c r="I207" s="7">
        <f>I173</f>
        <v>0</v>
      </c>
      <c r="J207" s="7">
        <f>J173</f>
        <v>0</v>
      </c>
      <c r="K207" s="10"/>
    </row>
    <row r="208" spans="1:11">
      <c r="A208" s="11" t="s">
        <v>213</v>
      </c>
      <c r="B208" s="7">
        <f>B174</f>
        <v>0</v>
      </c>
      <c r="C208" s="7">
        <f>C174</f>
        <v>0</v>
      </c>
      <c r="D208" s="7">
        <f>D174</f>
        <v>0</v>
      </c>
      <c r="E208" s="7">
        <f>E174</f>
        <v>0</v>
      </c>
      <c r="F208" s="7">
        <f>F174</f>
        <v>0</v>
      </c>
      <c r="G208" s="7">
        <f>G174</f>
        <v>0</v>
      </c>
      <c r="H208" s="7">
        <f>H174</f>
        <v>0</v>
      </c>
      <c r="I208" s="7">
        <f>I174</f>
        <v>0</v>
      </c>
      <c r="J208" s="7">
        <f>J174</f>
        <v>0</v>
      </c>
      <c r="K208" s="10"/>
    </row>
    <row r="209" spans="1:11">
      <c r="A209" s="11" t="s">
        <v>214</v>
      </c>
      <c r="B209" s="7">
        <f>B175</f>
        <v>0</v>
      </c>
      <c r="C209" s="7">
        <f>C175</f>
        <v>0</v>
      </c>
      <c r="D209" s="7">
        <f>D175</f>
        <v>0</v>
      </c>
      <c r="E209" s="7">
        <f>E175</f>
        <v>0</v>
      </c>
      <c r="F209" s="7">
        <f>F175</f>
        <v>0</v>
      </c>
      <c r="G209" s="7">
        <f>G175</f>
        <v>0</v>
      </c>
      <c r="H209" s="7">
        <f>H175</f>
        <v>0</v>
      </c>
      <c r="I209" s="7">
        <f>I175</f>
        <v>0</v>
      </c>
      <c r="J209" s="7">
        <f>J175</f>
        <v>0</v>
      </c>
      <c r="K209" s="10"/>
    </row>
    <row r="210" spans="1:11">
      <c r="A210" s="11" t="s">
        <v>215</v>
      </c>
      <c r="B210" s="7">
        <f>B176</f>
        <v>0</v>
      </c>
      <c r="C210" s="7">
        <f>C176</f>
        <v>0</v>
      </c>
      <c r="D210" s="7">
        <f>D176</f>
        <v>0</v>
      </c>
      <c r="E210" s="7">
        <f>E176</f>
        <v>0</v>
      </c>
      <c r="F210" s="7">
        <f>F176</f>
        <v>0</v>
      </c>
      <c r="G210" s="7">
        <f>G176</f>
        <v>0</v>
      </c>
      <c r="H210" s="7">
        <f>H176</f>
        <v>0</v>
      </c>
      <c r="I210" s="7">
        <f>I176</f>
        <v>0</v>
      </c>
      <c r="J210" s="7">
        <f>J176</f>
        <v>0</v>
      </c>
      <c r="K210" s="10"/>
    </row>
    <row r="211" spans="1:11">
      <c r="A211" s="11" t="s">
        <v>216</v>
      </c>
      <c r="B211" s="7">
        <f>B177</f>
        <v>0</v>
      </c>
      <c r="C211" s="7">
        <f>C177</f>
        <v>0</v>
      </c>
      <c r="D211" s="7">
        <f>D177</f>
        <v>0</v>
      </c>
      <c r="E211" s="7">
        <f>E177</f>
        <v>0</v>
      </c>
      <c r="F211" s="7">
        <f>F177</f>
        <v>0</v>
      </c>
      <c r="G211" s="7">
        <f>G177</f>
        <v>0</v>
      </c>
      <c r="H211" s="7">
        <f>H177</f>
        <v>0</v>
      </c>
      <c r="I211" s="7">
        <f>I177</f>
        <v>0</v>
      </c>
      <c r="J211" s="7">
        <f>J177</f>
        <v>0</v>
      </c>
      <c r="K211" s="10"/>
    </row>
    <row r="212" spans="1:11">
      <c r="A212" s="11" t="s">
        <v>180</v>
      </c>
      <c r="B212" s="7">
        <f>B178</f>
        <v>0</v>
      </c>
      <c r="C212" s="7">
        <f>C178</f>
        <v>0</v>
      </c>
      <c r="D212" s="7">
        <f>D178</f>
        <v>0</v>
      </c>
      <c r="E212" s="7">
        <f>E178</f>
        <v>0</v>
      </c>
      <c r="F212" s="7">
        <f>F178</f>
        <v>0</v>
      </c>
      <c r="G212" s="7">
        <f>G178</f>
        <v>0</v>
      </c>
      <c r="H212" s="7">
        <f>H178</f>
        <v>0</v>
      </c>
      <c r="I212" s="7">
        <f>I178</f>
        <v>0</v>
      </c>
      <c r="J212" s="7">
        <f>J178</f>
        <v>0</v>
      </c>
      <c r="K212" s="10"/>
    </row>
    <row r="213" spans="1:11">
      <c r="A213" s="11" t="s">
        <v>181</v>
      </c>
      <c r="B213" s="7">
        <f>B179</f>
        <v>0</v>
      </c>
      <c r="C213" s="7">
        <f>C179</f>
        <v>0</v>
      </c>
      <c r="D213" s="7">
        <f>D179</f>
        <v>0</v>
      </c>
      <c r="E213" s="7">
        <f>E179</f>
        <v>0</v>
      </c>
      <c r="F213" s="7">
        <f>F179</f>
        <v>0</v>
      </c>
      <c r="G213" s="7">
        <f>G179</f>
        <v>0</v>
      </c>
      <c r="H213" s="7">
        <f>H179</f>
        <v>0</v>
      </c>
      <c r="I213" s="7">
        <f>I179</f>
        <v>0</v>
      </c>
      <c r="J213" s="7">
        <f>J179</f>
        <v>0</v>
      </c>
      <c r="K213" s="10"/>
    </row>
    <row r="214" spans="1:11">
      <c r="A214" s="11" t="s">
        <v>182</v>
      </c>
      <c r="B214" s="7">
        <f>B180</f>
        <v>0</v>
      </c>
      <c r="C214" s="7">
        <f>C180</f>
        <v>0</v>
      </c>
      <c r="D214" s="7">
        <f>D180</f>
        <v>0</v>
      </c>
      <c r="E214" s="7">
        <f>E180</f>
        <v>0</v>
      </c>
      <c r="F214" s="7">
        <f>F180</f>
        <v>0</v>
      </c>
      <c r="G214" s="7">
        <f>G180</f>
        <v>0</v>
      </c>
      <c r="H214" s="7">
        <f>H180</f>
        <v>0</v>
      </c>
      <c r="I214" s="7">
        <f>I180</f>
        <v>0</v>
      </c>
      <c r="J214" s="7">
        <f>J180</f>
        <v>0</v>
      </c>
      <c r="K214" s="10"/>
    </row>
    <row r="215" spans="1:11">
      <c r="A215" s="11" t="s">
        <v>183</v>
      </c>
      <c r="B215" s="7">
        <f>B181</f>
        <v>0</v>
      </c>
      <c r="C215" s="7">
        <f>C181</f>
        <v>0</v>
      </c>
      <c r="D215" s="7">
        <f>D181</f>
        <v>0</v>
      </c>
      <c r="E215" s="7">
        <f>E181</f>
        <v>0</v>
      </c>
      <c r="F215" s="7">
        <f>F181</f>
        <v>0</v>
      </c>
      <c r="G215" s="7">
        <f>G181</f>
        <v>0</v>
      </c>
      <c r="H215" s="7">
        <f>H181</f>
        <v>0</v>
      </c>
      <c r="I215" s="7">
        <f>I181</f>
        <v>0</v>
      </c>
      <c r="J215" s="7">
        <f>J181</f>
        <v>0</v>
      </c>
      <c r="K215" s="10"/>
    </row>
    <row r="216" spans="1:11">
      <c r="A216" s="11" t="s">
        <v>184</v>
      </c>
      <c r="B216" s="7">
        <f>B182</f>
        <v>0</v>
      </c>
      <c r="C216" s="7">
        <f>C182</f>
        <v>0</v>
      </c>
      <c r="D216" s="7">
        <f>D182</f>
        <v>0</v>
      </c>
      <c r="E216" s="7">
        <f>E182</f>
        <v>0</v>
      </c>
      <c r="F216" s="7">
        <f>F182</f>
        <v>0</v>
      </c>
      <c r="G216" s="7">
        <f>G182</f>
        <v>0</v>
      </c>
      <c r="H216" s="7">
        <f>H182</f>
        <v>0</v>
      </c>
      <c r="I216" s="7">
        <f>I182</f>
        <v>0</v>
      </c>
      <c r="J216" s="7">
        <f>J182</f>
        <v>0</v>
      </c>
      <c r="K216" s="10"/>
    </row>
    <row r="217" spans="1:11">
      <c r="A217" s="11" t="s">
        <v>185</v>
      </c>
      <c r="B217" s="7">
        <f>B183</f>
        <v>0</v>
      </c>
      <c r="C217" s="7">
        <f>C183</f>
        <v>0</v>
      </c>
      <c r="D217" s="7">
        <f>D183</f>
        <v>0</v>
      </c>
      <c r="E217" s="7">
        <f>E183</f>
        <v>0</v>
      </c>
      <c r="F217" s="7">
        <f>F183</f>
        <v>0</v>
      </c>
      <c r="G217" s="7">
        <f>G183</f>
        <v>0</v>
      </c>
      <c r="H217" s="7">
        <f>H183</f>
        <v>0</v>
      </c>
      <c r="I217" s="7">
        <f>I183</f>
        <v>0</v>
      </c>
      <c r="J217" s="7">
        <f>J183</f>
        <v>0</v>
      </c>
      <c r="K217" s="10"/>
    </row>
    <row r="218" spans="1:11">
      <c r="A218" s="11" t="s">
        <v>193</v>
      </c>
      <c r="B218" s="7">
        <f>B184</f>
        <v>0</v>
      </c>
      <c r="C218" s="7">
        <f>C184</f>
        <v>0</v>
      </c>
      <c r="D218" s="7">
        <f>D184</f>
        <v>0</v>
      </c>
      <c r="E218" s="7">
        <f>E184</f>
        <v>0</v>
      </c>
      <c r="F218" s="7">
        <f>F184</f>
        <v>0</v>
      </c>
      <c r="G218" s="7">
        <f>G184</f>
        <v>0</v>
      </c>
      <c r="H218" s="7">
        <f>H184</f>
        <v>0</v>
      </c>
      <c r="I218" s="7">
        <f>I184</f>
        <v>0</v>
      </c>
      <c r="J218" s="7">
        <f>J184</f>
        <v>0</v>
      </c>
      <c r="K218" s="10"/>
    </row>
    <row r="219" spans="1:11">
      <c r="A219" s="11" t="s">
        <v>194</v>
      </c>
      <c r="B219" s="7">
        <f>B185</f>
        <v>0</v>
      </c>
      <c r="C219" s="7">
        <f>C185</f>
        <v>0</v>
      </c>
      <c r="D219" s="7">
        <f>D185</f>
        <v>0</v>
      </c>
      <c r="E219" s="7">
        <f>E185</f>
        <v>0</v>
      </c>
      <c r="F219" s="7">
        <f>F185</f>
        <v>0</v>
      </c>
      <c r="G219" s="7">
        <f>G185</f>
        <v>0</v>
      </c>
      <c r="H219" s="7">
        <f>H185</f>
        <v>0</v>
      </c>
      <c r="I219" s="7">
        <f>I185</f>
        <v>0</v>
      </c>
      <c r="J219" s="7">
        <f>J185</f>
        <v>0</v>
      </c>
      <c r="K219" s="10"/>
    </row>
    <row r="221" spans="1:11">
      <c r="A221" s="1" t="s">
        <v>393</v>
      </c>
    </row>
    <row r="222" spans="1:11">
      <c r="A222" s="2" t="s">
        <v>349</v>
      </c>
    </row>
    <row r="223" spans="1:11">
      <c r="A223" s="12" t="s">
        <v>394</v>
      </c>
    </row>
    <row r="224" spans="1:11">
      <c r="A224" s="12" t="s">
        <v>395</v>
      </c>
    </row>
    <row r="225" spans="1:11">
      <c r="A225" s="12" t="s">
        <v>396</v>
      </c>
    </row>
    <row r="226" spans="1:11">
      <c r="A226" s="2" t="s">
        <v>397</v>
      </c>
    </row>
    <row r="228" spans="1:11">
      <c r="B228" s="3" t="s">
        <v>140</v>
      </c>
      <c r="C228" s="3" t="s">
        <v>141</v>
      </c>
      <c r="D228" s="3" t="s">
        <v>142</v>
      </c>
      <c r="E228" s="3" t="s">
        <v>143</v>
      </c>
      <c r="F228" s="3" t="s">
        <v>144</v>
      </c>
      <c r="G228" s="3" t="s">
        <v>149</v>
      </c>
      <c r="H228" s="3" t="s">
        <v>145</v>
      </c>
      <c r="I228" s="3" t="s">
        <v>146</v>
      </c>
      <c r="J228" s="3" t="s">
        <v>147</v>
      </c>
    </row>
    <row r="229" spans="1:11">
      <c r="A229" s="11" t="s">
        <v>172</v>
      </c>
      <c r="B229" s="6">
        <f>IF(B$75="",B195,B195*$I14/B$75)</f>
        <v>0</v>
      </c>
      <c r="C229" s="6">
        <f>IF(C$75="",C195,C195*$I14/C$75)</f>
        <v>0</v>
      </c>
      <c r="D229" s="6">
        <f>IF(D$75="",D195,D195*$I14/D$75)</f>
        <v>0</v>
      </c>
      <c r="E229" s="6">
        <f>IF(E$75="",E195,E195*$I14/E$75)</f>
        <v>0</v>
      </c>
      <c r="F229" s="6">
        <f>IF(F$75="",F195,F195*$I14/F$75)</f>
        <v>0</v>
      </c>
      <c r="G229" s="6">
        <f>IF(G$75="",G195,G195*$I14/G$75)</f>
        <v>0</v>
      </c>
      <c r="H229" s="6">
        <f>IF(H$75="",H195,H195*$I14/H$75)</f>
        <v>0</v>
      </c>
      <c r="I229" s="6">
        <f>IF(I$75="",I195,I195*$I14/I$75)</f>
        <v>0</v>
      </c>
      <c r="J229" s="6">
        <f>IF(J$75="",J195,J195*$I14/J$75)</f>
        <v>0</v>
      </c>
      <c r="K229" s="10"/>
    </row>
    <row r="230" spans="1:11">
      <c r="A230" s="11" t="s">
        <v>173</v>
      </c>
      <c r="B230" s="6">
        <f>IF(B$75="",B196,B196*$I15/B$75)</f>
        <v>0</v>
      </c>
      <c r="C230" s="6">
        <f>IF(C$75="",C196,C196*$I15/C$75)</f>
        <v>0</v>
      </c>
      <c r="D230" s="6">
        <f>IF(D$75="",D196,D196*$I15/D$75)</f>
        <v>0</v>
      </c>
      <c r="E230" s="6">
        <f>IF(E$75="",E196,E196*$I15/E$75)</f>
        <v>0</v>
      </c>
      <c r="F230" s="6">
        <f>IF(F$75="",F196,F196*$I15/F$75)</f>
        <v>0</v>
      </c>
      <c r="G230" s="6">
        <f>IF(G$75="",G196,G196*$I15/G$75)</f>
        <v>0</v>
      </c>
      <c r="H230" s="6">
        <f>IF(H$75="",H196,H196*$I15/H$75)</f>
        <v>0</v>
      </c>
      <c r="I230" s="6">
        <f>IF(I$75="",I196,I196*$I15/I$75)</f>
        <v>0</v>
      </c>
      <c r="J230" s="6">
        <f>IF(J$75="",J196,J196*$I15/J$75)</f>
        <v>0</v>
      </c>
      <c r="K230" s="10"/>
    </row>
    <row r="231" spans="1:11">
      <c r="A231" s="11" t="s">
        <v>210</v>
      </c>
      <c r="B231" s="6">
        <f>IF(B$75="",B197,B197*$I16/B$75)</f>
        <v>0</v>
      </c>
      <c r="C231" s="6">
        <f>IF(C$75="",C197,C197*$I16/C$75)</f>
        <v>0</v>
      </c>
      <c r="D231" s="6">
        <f>IF(D$75="",D197,D197*$I16/D$75)</f>
        <v>0</v>
      </c>
      <c r="E231" s="6">
        <f>IF(E$75="",E197,E197*$I16/E$75)</f>
        <v>0</v>
      </c>
      <c r="F231" s="6">
        <f>IF(F$75="",F197,F197*$I16/F$75)</f>
        <v>0</v>
      </c>
      <c r="G231" s="6">
        <f>IF(G$75="",G197,G197*$I16/G$75)</f>
        <v>0</v>
      </c>
      <c r="H231" s="6">
        <f>IF(H$75="",H197,H197*$I16/H$75)</f>
        <v>0</v>
      </c>
      <c r="I231" s="6">
        <f>IF(I$75="",I197,I197*$I16/I$75)</f>
        <v>0</v>
      </c>
      <c r="J231" s="6">
        <f>IF(J$75="",J197,J197*$I16/J$75)</f>
        <v>0</v>
      </c>
      <c r="K231" s="10"/>
    </row>
    <row r="232" spans="1:11">
      <c r="A232" s="11" t="s">
        <v>174</v>
      </c>
      <c r="B232" s="6">
        <f>IF(B$75="",B198,B198*$I17/B$75)</f>
        <v>0</v>
      </c>
      <c r="C232" s="6">
        <f>IF(C$75="",C198,C198*$I17/C$75)</f>
        <v>0</v>
      </c>
      <c r="D232" s="6">
        <f>IF(D$75="",D198,D198*$I17/D$75)</f>
        <v>0</v>
      </c>
      <c r="E232" s="6">
        <f>IF(E$75="",E198,E198*$I17/E$75)</f>
        <v>0</v>
      </c>
      <c r="F232" s="6">
        <f>IF(F$75="",F198,F198*$I17/F$75)</f>
        <v>0</v>
      </c>
      <c r="G232" s="6">
        <f>IF(G$75="",G198,G198*$I17/G$75)</f>
        <v>0</v>
      </c>
      <c r="H232" s="6">
        <f>IF(H$75="",H198,H198*$I17/H$75)</f>
        <v>0</v>
      </c>
      <c r="I232" s="6">
        <f>IF(I$75="",I198,I198*$I17/I$75)</f>
        <v>0</v>
      </c>
      <c r="J232" s="6">
        <f>IF(J$75="",J198,J198*$I17/J$75)</f>
        <v>0</v>
      </c>
      <c r="K232" s="10"/>
    </row>
    <row r="233" spans="1:11">
      <c r="A233" s="11" t="s">
        <v>175</v>
      </c>
      <c r="B233" s="6">
        <f>IF(B$75="",B199,B199*$I18/B$75)</f>
        <v>0</v>
      </c>
      <c r="C233" s="6">
        <f>IF(C$75="",C199,C199*$I18/C$75)</f>
        <v>0</v>
      </c>
      <c r="D233" s="6">
        <f>IF(D$75="",D199,D199*$I18/D$75)</f>
        <v>0</v>
      </c>
      <c r="E233" s="6">
        <f>IF(E$75="",E199,E199*$I18/E$75)</f>
        <v>0</v>
      </c>
      <c r="F233" s="6">
        <f>IF(F$75="",F199,F199*$I18/F$75)</f>
        <v>0</v>
      </c>
      <c r="G233" s="6">
        <f>IF(G$75="",G199,G199*$I18/G$75)</f>
        <v>0</v>
      </c>
      <c r="H233" s="6">
        <f>IF(H$75="",H199,H199*$I18/H$75)</f>
        <v>0</v>
      </c>
      <c r="I233" s="6">
        <f>IF(I$75="",I199,I199*$I18/I$75)</f>
        <v>0</v>
      </c>
      <c r="J233" s="6">
        <f>IF(J$75="",J199,J199*$I18/J$75)</f>
        <v>0</v>
      </c>
      <c r="K233" s="10"/>
    </row>
    <row r="234" spans="1:11">
      <c r="A234" s="11" t="s">
        <v>211</v>
      </c>
      <c r="B234" s="6">
        <f>IF(B$75="",B200,B200*$I19/B$75)</f>
        <v>0</v>
      </c>
      <c r="C234" s="6">
        <f>IF(C$75="",C200,C200*$I19/C$75)</f>
        <v>0</v>
      </c>
      <c r="D234" s="6">
        <f>IF(D$75="",D200,D200*$I19/D$75)</f>
        <v>0</v>
      </c>
      <c r="E234" s="6">
        <f>IF(E$75="",E200,E200*$I19/E$75)</f>
        <v>0</v>
      </c>
      <c r="F234" s="6">
        <f>IF(F$75="",F200,F200*$I19/F$75)</f>
        <v>0</v>
      </c>
      <c r="G234" s="6">
        <f>IF(G$75="",G200,G200*$I19/G$75)</f>
        <v>0</v>
      </c>
      <c r="H234" s="6">
        <f>IF(H$75="",H200,H200*$I19/H$75)</f>
        <v>0</v>
      </c>
      <c r="I234" s="6">
        <f>IF(I$75="",I200,I200*$I19/I$75)</f>
        <v>0</v>
      </c>
      <c r="J234" s="6">
        <f>IF(J$75="",J200,J200*$I19/J$75)</f>
        <v>0</v>
      </c>
      <c r="K234" s="10"/>
    </row>
    <row r="235" spans="1:11">
      <c r="A235" s="11" t="s">
        <v>176</v>
      </c>
      <c r="B235" s="6">
        <f>IF(B$75="",B201,B201*$I20/B$75)</f>
        <v>0</v>
      </c>
      <c r="C235" s="6">
        <f>IF(C$75="",C201,C201*$I20/C$75)</f>
        <v>0</v>
      </c>
      <c r="D235" s="6">
        <f>IF(D$75="",D201,D201*$I20/D$75)</f>
        <v>0</v>
      </c>
      <c r="E235" s="6">
        <f>IF(E$75="",E201,E201*$I20/E$75)</f>
        <v>0</v>
      </c>
      <c r="F235" s="6">
        <f>IF(F$75="",F201,F201*$I20/F$75)</f>
        <v>0</v>
      </c>
      <c r="G235" s="6">
        <f>IF(G$75="",G201,G201*$I20/G$75)</f>
        <v>0</v>
      </c>
      <c r="H235" s="6">
        <f>IF(H$75="",H201,H201*$I20/H$75)</f>
        <v>0</v>
      </c>
      <c r="I235" s="6">
        <f>IF(I$75="",I201,I201*$I20/I$75)</f>
        <v>0</v>
      </c>
      <c r="J235" s="6">
        <f>IF(J$75="",J201,J201*$I20/J$75)</f>
        <v>0</v>
      </c>
      <c r="K235" s="10"/>
    </row>
    <row r="236" spans="1:11">
      <c r="A236" s="11" t="s">
        <v>177</v>
      </c>
      <c r="B236" s="6">
        <f>IF(B$75="",B202,B202*$I21/B$75)</f>
        <v>0</v>
      </c>
      <c r="C236" s="6">
        <f>IF(C$75="",C202,C202*$I21/C$75)</f>
        <v>0</v>
      </c>
      <c r="D236" s="6">
        <f>IF(D$75="",D202,D202*$I21/D$75)</f>
        <v>0</v>
      </c>
      <c r="E236" s="6">
        <f>IF(E$75="",E202,E202*$I21/E$75)</f>
        <v>0</v>
      </c>
      <c r="F236" s="6">
        <f>IF(F$75="",F202,F202*$I21/F$75)</f>
        <v>0</v>
      </c>
      <c r="G236" s="6">
        <f>IF(G$75="",G202,G202*$I21/G$75)</f>
        <v>0</v>
      </c>
      <c r="H236" s="6">
        <f>IF(H$75="",H202,H202*$I21/H$75)</f>
        <v>0</v>
      </c>
      <c r="I236" s="6">
        <f>IF(I$75="",I202,I202*$I21/I$75)</f>
        <v>0</v>
      </c>
      <c r="J236" s="6">
        <f>IF(J$75="",J202,J202*$I21/J$75)</f>
        <v>0</v>
      </c>
      <c r="K236" s="10"/>
    </row>
    <row r="237" spans="1:11">
      <c r="A237" s="11" t="s">
        <v>191</v>
      </c>
      <c r="B237" s="6">
        <f>IF(B$75="",B203,B203*$I22/B$75)</f>
        <v>0</v>
      </c>
      <c r="C237" s="6">
        <f>IF(C$75="",C203,C203*$I22/C$75)</f>
        <v>0</v>
      </c>
      <c r="D237" s="6">
        <f>IF(D$75="",D203,D203*$I22/D$75)</f>
        <v>0</v>
      </c>
      <c r="E237" s="6">
        <f>IF(E$75="",E203,E203*$I22/E$75)</f>
        <v>0</v>
      </c>
      <c r="F237" s="6">
        <f>IF(F$75="",F203,F203*$I22/F$75)</f>
        <v>0</v>
      </c>
      <c r="G237" s="6">
        <f>IF(G$75="",G203,G203*$I22/G$75)</f>
        <v>0</v>
      </c>
      <c r="H237" s="6">
        <f>IF(H$75="",H203,H203*$I22/H$75)</f>
        <v>0</v>
      </c>
      <c r="I237" s="6">
        <f>IF(I$75="",I203,I203*$I22/I$75)</f>
        <v>0</v>
      </c>
      <c r="J237" s="6">
        <f>IF(J$75="",J203,J203*$I22/J$75)</f>
        <v>0</v>
      </c>
      <c r="K237" s="10"/>
    </row>
    <row r="238" spans="1:11">
      <c r="A238" s="11" t="s">
        <v>178</v>
      </c>
      <c r="B238" s="6">
        <f>IF(B$75="",B204,B204*$I23/B$75)</f>
        <v>0</v>
      </c>
      <c r="C238" s="6">
        <f>IF(C$75="",C204,C204*$I23/C$75)</f>
        <v>0</v>
      </c>
      <c r="D238" s="6">
        <f>IF(D$75="",D204,D204*$I23/D$75)</f>
        <v>0</v>
      </c>
      <c r="E238" s="6">
        <f>IF(E$75="",E204,E204*$I23/E$75)</f>
        <v>0</v>
      </c>
      <c r="F238" s="6">
        <f>IF(F$75="",F204,F204*$I23/F$75)</f>
        <v>0</v>
      </c>
      <c r="G238" s="6">
        <f>IF(G$75="",G204,G204*$I23/G$75)</f>
        <v>0</v>
      </c>
      <c r="H238" s="6">
        <f>IF(H$75="",H204,H204*$I23/H$75)</f>
        <v>0</v>
      </c>
      <c r="I238" s="6">
        <f>IF(I$75="",I204,I204*$I23/I$75)</f>
        <v>0</v>
      </c>
      <c r="J238" s="6">
        <f>IF(J$75="",J204,J204*$I23/J$75)</f>
        <v>0</v>
      </c>
      <c r="K238" s="10"/>
    </row>
    <row r="239" spans="1:11">
      <c r="A239" s="11" t="s">
        <v>179</v>
      </c>
      <c r="B239" s="6">
        <f>IF(B$75="",B205,B205*$I24/B$75)</f>
        <v>0</v>
      </c>
      <c r="C239" s="6">
        <f>IF(C$75="",C205,C205*$I24/C$75)</f>
        <v>0</v>
      </c>
      <c r="D239" s="6">
        <f>IF(D$75="",D205,D205*$I24/D$75)</f>
        <v>0</v>
      </c>
      <c r="E239" s="6">
        <f>IF(E$75="",E205,E205*$I24/E$75)</f>
        <v>0</v>
      </c>
      <c r="F239" s="6">
        <f>IF(F$75="",F205,F205*$I24/F$75)</f>
        <v>0</v>
      </c>
      <c r="G239" s="6">
        <f>IF(G$75="",G205,G205*$I24/G$75)</f>
        <v>0</v>
      </c>
      <c r="H239" s="6">
        <f>IF(H$75="",H205,H205*$I24/H$75)</f>
        <v>0</v>
      </c>
      <c r="I239" s="6">
        <f>IF(I$75="",I205,I205*$I24/I$75)</f>
        <v>0</v>
      </c>
      <c r="J239" s="6">
        <f>IF(J$75="",J205,J205*$I24/J$75)</f>
        <v>0</v>
      </c>
      <c r="K239" s="10"/>
    </row>
    <row r="240" spans="1:11">
      <c r="A240" s="11" t="s">
        <v>192</v>
      </c>
      <c r="B240" s="6">
        <f>IF(B$75="",B206,B206*$I25/B$75)</f>
        <v>0</v>
      </c>
      <c r="C240" s="6">
        <f>IF(C$75="",C206,C206*$I25/C$75)</f>
        <v>0</v>
      </c>
      <c r="D240" s="6">
        <f>IF(D$75="",D206,D206*$I25/D$75)</f>
        <v>0</v>
      </c>
      <c r="E240" s="6">
        <f>IF(E$75="",E206,E206*$I25/E$75)</f>
        <v>0</v>
      </c>
      <c r="F240" s="6">
        <f>IF(F$75="",F206,F206*$I25/F$75)</f>
        <v>0</v>
      </c>
      <c r="G240" s="6">
        <f>IF(G$75="",G206,G206*$I25/G$75)</f>
        <v>0</v>
      </c>
      <c r="H240" s="6">
        <f>IF(H$75="",H206,H206*$I25/H$75)</f>
        <v>0</v>
      </c>
      <c r="I240" s="6">
        <f>IF(I$75="",I206,I206*$I25/I$75)</f>
        <v>0</v>
      </c>
      <c r="J240" s="6">
        <f>IF(J$75="",J206,J206*$I25/J$75)</f>
        <v>0</v>
      </c>
      <c r="K240" s="10"/>
    </row>
    <row r="241" spans="1:11">
      <c r="A241" s="11" t="s">
        <v>212</v>
      </c>
      <c r="B241" s="6">
        <f>IF(B$75="",B207,B207*$I26/B$75)</f>
        <v>0</v>
      </c>
      <c r="C241" s="6">
        <f>IF(C$75="",C207,C207*$I26/C$75)</f>
        <v>0</v>
      </c>
      <c r="D241" s="6">
        <f>IF(D$75="",D207,D207*$I26/D$75)</f>
        <v>0</v>
      </c>
      <c r="E241" s="6">
        <f>IF(E$75="",E207,E207*$I26/E$75)</f>
        <v>0</v>
      </c>
      <c r="F241" s="6">
        <f>IF(F$75="",F207,F207*$I26/F$75)</f>
        <v>0</v>
      </c>
      <c r="G241" s="6">
        <f>IF(G$75="",G207,G207*$I26/G$75)</f>
        <v>0</v>
      </c>
      <c r="H241" s="6">
        <f>IF(H$75="",H207,H207*$I26/H$75)</f>
        <v>0</v>
      </c>
      <c r="I241" s="6">
        <f>IF(I$75="",I207,I207*$I26/I$75)</f>
        <v>0</v>
      </c>
      <c r="J241" s="6">
        <f>IF(J$75="",J207,J207*$I26/J$75)</f>
        <v>0</v>
      </c>
      <c r="K241" s="10"/>
    </row>
    <row r="242" spans="1:11">
      <c r="A242" s="11" t="s">
        <v>213</v>
      </c>
      <c r="B242" s="6">
        <f>IF(B$75="",B208,B208*$I27/B$75)</f>
        <v>0</v>
      </c>
      <c r="C242" s="6">
        <f>IF(C$75="",C208,C208*$I27/C$75)</f>
        <v>0</v>
      </c>
      <c r="D242" s="6">
        <f>IF(D$75="",D208,D208*$I27/D$75)</f>
        <v>0</v>
      </c>
      <c r="E242" s="6">
        <f>IF(E$75="",E208,E208*$I27/E$75)</f>
        <v>0</v>
      </c>
      <c r="F242" s="6">
        <f>IF(F$75="",F208,F208*$I27/F$75)</f>
        <v>0</v>
      </c>
      <c r="G242" s="6">
        <f>IF(G$75="",G208,G208*$I27/G$75)</f>
        <v>0</v>
      </c>
      <c r="H242" s="6">
        <f>IF(H$75="",H208,H208*$I27/H$75)</f>
        <v>0</v>
      </c>
      <c r="I242" s="6">
        <f>IF(I$75="",I208,I208*$I27/I$75)</f>
        <v>0</v>
      </c>
      <c r="J242" s="6">
        <f>IF(J$75="",J208,J208*$I27/J$75)</f>
        <v>0</v>
      </c>
      <c r="K242" s="10"/>
    </row>
    <row r="243" spans="1:11">
      <c r="A243" s="11" t="s">
        <v>214</v>
      </c>
      <c r="B243" s="6">
        <f>IF(B$75="",B209,B209*$I28/B$75)</f>
        <v>0</v>
      </c>
      <c r="C243" s="6">
        <f>IF(C$75="",C209,C209*$I28/C$75)</f>
        <v>0</v>
      </c>
      <c r="D243" s="6">
        <f>IF(D$75="",D209,D209*$I28/D$75)</f>
        <v>0</v>
      </c>
      <c r="E243" s="6">
        <f>IF(E$75="",E209,E209*$I28/E$75)</f>
        <v>0</v>
      </c>
      <c r="F243" s="6">
        <f>IF(F$75="",F209,F209*$I28/F$75)</f>
        <v>0</v>
      </c>
      <c r="G243" s="6">
        <f>IF(G$75="",G209,G209*$I28/G$75)</f>
        <v>0</v>
      </c>
      <c r="H243" s="6">
        <f>IF(H$75="",H209,H209*$I28/H$75)</f>
        <v>0</v>
      </c>
      <c r="I243" s="6">
        <f>IF(I$75="",I209,I209*$I28/I$75)</f>
        <v>0</v>
      </c>
      <c r="J243" s="6">
        <f>IF(J$75="",J209,J209*$I28/J$75)</f>
        <v>0</v>
      </c>
      <c r="K243" s="10"/>
    </row>
    <row r="244" spans="1:11">
      <c r="A244" s="11" t="s">
        <v>215</v>
      </c>
      <c r="B244" s="6">
        <f>IF(B$75="",B210,B210*$I29/B$75)</f>
        <v>0</v>
      </c>
      <c r="C244" s="6">
        <f>IF(C$75="",C210,C210*$I29/C$75)</f>
        <v>0</v>
      </c>
      <c r="D244" s="6">
        <f>IF(D$75="",D210,D210*$I29/D$75)</f>
        <v>0</v>
      </c>
      <c r="E244" s="6">
        <f>IF(E$75="",E210,E210*$I29/E$75)</f>
        <v>0</v>
      </c>
      <c r="F244" s="6">
        <f>IF(F$75="",F210,F210*$I29/F$75)</f>
        <v>0</v>
      </c>
      <c r="G244" s="6">
        <f>IF(G$75="",G210,G210*$I29/G$75)</f>
        <v>0</v>
      </c>
      <c r="H244" s="6">
        <f>IF(H$75="",H210,H210*$I29/H$75)</f>
        <v>0</v>
      </c>
      <c r="I244" s="6">
        <f>IF(I$75="",I210,I210*$I29/I$75)</f>
        <v>0</v>
      </c>
      <c r="J244" s="6">
        <f>IF(J$75="",J210,J210*$I29/J$75)</f>
        <v>0</v>
      </c>
      <c r="K244" s="10"/>
    </row>
    <row r="245" spans="1:11">
      <c r="A245" s="11" t="s">
        <v>216</v>
      </c>
      <c r="B245" s="6">
        <f>IF(B$75="",B211,B211*$I30/B$75)</f>
        <v>0</v>
      </c>
      <c r="C245" s="6">
        <f>IF(C$75="",C211,C211*$I30/C$75)</f>
        <v>0</v>
      </c>
      <c r="D245" s="6">
        <f>IF(D$75="",D211,D211*$I30/D$75)</f>
        <v>0</v>
      </c>
      <c r="E245" s="6">
        <f>IF(E$75="",E211,E211*$I30/E$75)</f>
        <v>0</v>
      </c>
      <c r="F245" s="6">
        <f>IF(F$75="",F211,F211*$I30/F$75)</f>
        <v>0</v>
      </c>
      <c r="G245" s="6">
        <f>IF(G$75="",G211,G211*$I30/G$75)</f>
        <v>0</v>
      </c>
      <c r="H245" s="6">
        <f>IF(H$75="",H211,H211*$I30/H$75)</f>
        <v>0</v>
      </c>
      <c r="I245" s="6">
        <f>IF(I$75="",I211,I211*$I30/I$75)</f>
        <v>0</v>
      </c>
      <c r="J245" s="6">
        <f>IF(J$75="",J211,J211*$I30/J$75)</f>
        <v>0</v>
      </c>
      <c r="K245" s="10"/>
    </row>
    <row r="246" spans="1:11">
      <c r="A246" s="11" t="s">
        <v>180</v>
      </c>
      <c r="B246" s="6">
        <f>IF(B$75="",B212,B212*$I31/B$75)</f>
        <v>0</v>
      </c>
      <c r="C246" s="6">
        <f>IF(C$75="",C212,C212*$I31/C$75)</f>
        <v>0</v>
      </c>
      <c r="D246" s="6">
        <f>IF(D$75="",D212,D212*$I31/D$75)</f>
        <v>0</v>
      </c>
      <c r="E246" s="6">
        <f>IF(E$75="",E212,E212*$I31/E$75)</f>
        <v>0</v>
      </c>
      <c r="F246" s="6">
        <f>IF(F$75="",F212,F212*$I31/F$75)</f>
        <v>0</v>
      </c>
      <c r="G246" s="6">
        <f>IF(G$75="",G212,G212*$I31/G$75)</f>
        <v>0</v>
      </c>
      <c r="H246" s="6">
        <f>IF(H$75="",H212,H212*$I31/H$75)</f>
        <v>0</v>
      </c>
      <c r="I246" s="6">
        <f>IF(I$75="",I212,I212*$I31/I$75)</f>
        <v>0</v>
      </c>
      <c r="J246" s="6">
        <f>IF(J$75="",J212,J212*$I31/J$75)</f>
        <v>0</v>
      </c>
      <c r="K246" s="10"/>
    </row>
    <row r="247" spans="1:11">
      <c r="A247" s="11" t="s">
        <v>181</v>
      </c>
      <c r="B247" s="6">
        <f>IF(B$75="",B213,B213*$I32/B$75)</f>
        <v>0</v>
      </c>
      <c r="C247" s="6">
        <f>IF(C$75="",C213,C213*$I32/C$75)</f>
        <v>0</v>
      </c>
      <c r="D247" s="6">
        <f>IF(D$75="",D213,D213*$I32/D$75)</f>
        <v>0</v>
      </c>
      <c r="E247" s="6">
        <f>IF(E$75="",E213,E213*$I32/E$75)</f>
        <v>0</v>
      </c>
      <c r="F247" s="6">
        <f>IF(F$75="",F213,F213*$I32/F$75)</f>
        <v>0</v>
      </c>
      <c r="G247" s="6">
        <f>IF(G$75="",G213,G213*$I32/G$75)</f>
        <v>0</v>
      </c>
      <c r="H247" s="6">
        <f>IF(H$75="",H213,H213*$I32/H$75)</f>
        <v>0</v>
      </c>
      <c r="I247" s="6">
        <f>IF(I$75="",I213,I213*$I32/I$75)</f>
        <v>0</v>
      </c>
      <c r="J247" s="6">
        <f>IF(J$75="",J213,J213*$I32/J$75)</f>
        <v>0</v>
      </c>
      <c r="K247" s="10"/>
    </row>
    <row r="248" spans="1:11">
      <c r="A248" s="11" t="s">
        <v>182</v>
      </c>
      <c r="B248" s="6">
        <f>IF(B$75="",B214,B214*$I33/B$75)</f>
        <v>0</v>
      </c>
      <c r="C248" s="6">
        <f>IF(C$75="",C214,C214*$I33/C$75)</f>
        <v>0</v>
      </c>
      <c r="D248" s="6">
        <f>IF(D$75="",D214,D214*$I33/D$75)</f>
        <v>0</v>
      </c>
      <c r="E248" s="6">
        <f>IF(E$75="",E214,E214*$I33/E$75)</f>
        <v>0</v>
      </c>
      <c r="F248" s="6">
        <f>IF(F$75="",F214,F214*$I33/F$75)</f>
        <v>0</v>
      </c>
      <c r="G248" s="6">
        <f>IF(G$75="",G214,G214*$I33/G$75)</f>
        <v>0</v>
      </c>
      <c r="H248" s="6">
        <f>IF(H$75="",H214,H214*$I33/H$75)</f>
        <v>0</v>
      </c>
      <c r="I248" s="6">
        <f>IF(I$75="",I214,I214*$I33/I$75)</f>
        <v>0</v>
      </c>
      <c r="J248" s="6">
        <f>IF(J$75="",J214,J214*$I33/J$75)</f>
        <v>0</v>
      </c>
      <c r="K248" s="10"/>
    </row>
    <row r="249" spans="1:11">
      <c r="A249" s="11" t="s">
        <v>183</v>
      </c>
      <c r="B249" s="6">
        <f>IF(B$75="",B215,B215*$I34/B$75)</f>
        <v>0</v>
      </c>
      <c r="C249" s="6">
        <f>IF(C$75="",C215,C215*$I34/C$75)</f>
        <v>0</v>
      </c>
      <c r="D249" s="6">
        <f>IF(D$75="",D215,D215*$I34/D$75)</f>
        <v>0</v>
      </c>
      <c r="E249" s="6">
        <f>IF(E$75="",E215,E215*$I34/E$75)</f>
        <v>0</v>
      </c>
      <c r="F249" s="6">
        <f>IF(F$75="",F215,F215*$I34/F$75)</f>
        <v>0</v>
      </c>
      <c r="G249" s="6">
        <f>IF(G$75="",G215,G215*$I34/G$75)</f>
        <v>0</v>
      </c>
      <c r="H249" s="6">
        <f>IF(H$75="",H215,H215*$I34/H$75)</f>
        <v>0</v>
      </c>
      <c r="I249" s="6">
        <f>IF(I$75="",I215,I215*$I34/I$75)</f>
        <v>0</v>
      </c>
      <c r="J249" s="6">
        <f>IF(J$75="",J215,J215*$I34/J$75)</f>
        <v>0</v>
      </c>
      <c r="K249" s="10"/>
    </row>
    <row r="250" spans="1:11">
      <c r="A250" s="11" t="s">
        <v>184</v>
      </c>
      <c r="B250" s="6">
        <f>IF(B$75="",B216,B216*$I35/B$75)</f>
        <v>0</v>
      </c>
      <c r="C250" s="6">
        <f>IF(C$75="",C216,C216*$I35/C$75)</f>
        <v>0</v>
      </c>
      <c r="D250" s="6">
        <f>IF(D$75="",D216,D216*$I35/D$75)</f>
        <v>0</v>
      </c>
      <c r="E250" s="6">
        <f>IF(E$75="",E216,E216*$I35/E$75)</f>
        <v>0</v>
      </c>
      <c r="F250" s="6">
        <f>IF(F$75="",F216,F216*$I35/F$75)</f>
        <v>0</v>
      </c>
      <c r="G250" s="6">
        <f>IF(G$75="",G216,G216*$I35/G$75)</f>
        <v>0</v>
      </c>
      <c r="H250" s="6">
        <f>IF(H$75="",H216,H216*$I35/H$75)</f>
        <v>0</v>
      </c>
      <c r="I250" s="6">
        <f>IF(I$75="",I216,I216*$I35/I$75)</f>
        <v>0</v>
      </c>
      <c r="J250" s="6">
        <f>IF(J$75="",J216,J216*$I35/J$75)</f>
        <v>0</v>
      </c>
      <c r="K250" s="10"/>
    </row>
    <row r="251" spans="1:11">
      <c r="A251" s="11" t="s">
        <v>185</v>
      </c>
      <c r="B251" s="6">
        <f>IF(B$75="",B217,B217*$I36/B$75)</f>
        <v>0</v>
      </c>
      <c r="C251" s="6">
        <f>IF(C$75="",C217,C217*$I36/C$75)</f>
        <v>0</v>
      </c>
      <c r="D251" s="6">
        <f>IF(D$75="",D217,D217*$I36/D$75)</f>
        <v>0</v>
      </c>
      <c r="E251" s="6">
        <f>IF(E$75="",E217,E217*$I36/E$75)</f>
        <v>0</v>
      </c>
      <c r="F251" s="6">
        <f>IF(F$75="",F217,F217*$I36/F$75)</f>
        <v>0</v>
      </c>
      <c r="G251" s="6">
        <f>IF(G$75="",G217,G217*$I36/G$75)</f>
        <v>0</v>
      </c>
      <c r="H251" s="6">
        <f>IF(H$75="",H217,H217*$I36/H$75)</f>
        <v>0</v>
      </c>
      <c r="I251" s="6">
        <f>IF(I$75="",I217,I217*$I36/I$75)</f>
        <v>0</v>
      </c>
      <c r="J251" s="6">
        <f>IF(J$75="",J217,J217*$I36/J$75)</f>
        <v>0</v>
      </c>
      <c r="K251" s="10"/>
    </row>
    <row r="252" spans="1:11">
      <c r="A252" s="11" t="s">
        <v>193</v>
      </c>
      <c r="B252" s="6">
        <f>IF(B$75="",B218,B218*$I37/B$75)</f>
        <v>0</v>
      </c>
      <c r="C252" s="6">
        <f>IF(C$75="",C218,C218*$I37/C$75)</f>
        <v>0</v>
      </c>
      <c r="D252" s="6">
        <f>IF(D$75="",D218,D218*$I37/D$75)</f>
        <v>0</v>
      </c>
      <c r="E252" s="6">
        <f>IF(E$75="",E218,E218*$I37/E$75)</f>
        <v>0</v>
      </c>
      <c r="F252" s="6">
        <f>IF(F$75="",F218,F218*$I37/F$75)</f>
        <v>0</v>
      </c>
      <c r="G252" s="6">
        <f>IF(G$75="",G218,G218*$I37/G$75)</f>
        <v>0</v>
      </c>
      <c r="H252" s="6">
        <f>IF(H$75="",H218,H218*$I37/H$75)</f>
        <v>0</v>
      </c>
      <c r="I252" s="6">
        <f>IF(I$75="",I218,I218*$I37/I$75)</f>
        <v>0</v>
      </c>
      <c r="J252" s="6">
        <f>IF(J$75="",J218,J218*$I37/J$75)</f>
        <v>0</v>
      </c>
      <c r="K252" s="10"/>
    </row>
    <row r="253" spans="1:11">
      <c r="A253" s="11" t="s">
        <v>194</v>
      </c>
      <c r="B253" s="6">
        <f>IF(B$75="",B219,B219*$I38/B$75)</f>
        <v>0</v>
      </c>
      <c r="C253" s="6">
        <f>IF(C$75="",C219,C219*$I38/C$75)</f>
        <v>0</v>
      </c>
      <c r="D253" s="6">
        <f>IF(D$75="",D219,D219*$I38/D$75)</f>
        <v>0</v>
      </c>
      <c r="E253" s="6">
        <f>IF(E$75="",E219,E219*$I38/E$75)</f>
        <v>0</v>
      </c>
      <c r="F253" s="6">
        <f>IF(F$75="",F219,F219*$I38/F$75)</f>
        <v>0</v>
      </c>
      <c r="G253" s="6">
        <f>IF(G$75="",G219,G219*$I38/G$75)</f>
        <v>0</v>
      </c>
      <c r="H253" s="6">
        <f>IF(H$75="",H219,H219*$I38/H$75)</f>
        <v>0</v>
      </c>
      <c r="I253" s="6">
        <f>IF(I$75="",I219,I219*$I38/I$75)</f>
        <v>0</v>
      </c>
      <c r="J253" s="6">
        <f>IF(J$75="",J219,J219*$I38/J$75)</f>
        <v>0</v>
      </c>
      <c r="K253" s="10"/>
    </row>
  </sheetData>
  <sheetProtection sheet="1" objects="1" scenarios="1"/>
  <hyperlinks>
    <hyperlink ref="A7" location="'LAFs'!B13" display="x1 = Network level for each tariff (to get loss factors applicable to capacity) (in Loss adjustment factors to transmission)"/>
    <hyperlink ref="A8" location="'Input'!B145" display="x2 = 1032. Loss adjustment factors to transmission"/>
    <hyperlink ref="A54" location="'LAFs'!B42" display="x1 = 2002. Mapping of DRM network levels to core network levels"/>
    <hyperlink ref="A55" location="'Input'!B145" display="x2 = 1032. Loss adjustment factors to transmission"/>
    <hyperlink ref="A70" location="'LAFs'!B58" display="x1 = 2003. Loss adjustment factor to transmission for each DRM network level"/>
    <hyperlink ref="A111" location="'Input'!B79" display="x1 = 1018. Proportion of relevant load going through 132kV/HV direct transformation"/>
    <hyperlink ref="A119" location="'Input'!B79" display="x1 = 1018. Proportion of relevant load going through 132kV/HV direct transformation"/>
    <hyperlink ref="A127" location="'Input'!B79" display="x1 = 1018. Proportion of relevant load going through 132kV/HV direct transformation"/>
    <hyperlink ref="A135" location="'Input'!B79" display="x1 = 1018. Proportion of relevant load going through 132kV/HV direct transformation"/>
    <hyperlink ref="A136" location="'LAFs'!B114" display="x2 = 2006. Proportion going through 132kV/EHV"/>
    <hyperlink ref="A137" location="'LAFs'!B122" display="x3 = 2007. Proportion going through EHV"/>
    <hyperlink ref="A138" location="'LAFs'!B130" display="x4 = 2008. Proportion going through EHV/HV"/>
    <hyperlink ref="A156" location="'LAFs'!B82" display="x1 = 2005. Network use factors"/>
    <hyperlink ref="A157" location="'LAFs'!B143" display="x2 = 2009. Rerouteing matrix for all network levels"/>
    <hyperlink ref="A191" location="'LAFs'!B160" display="x3 = 2010. Network use factors: interim step in calculations before adjustments"/>
    <hyperlink ref="A223" location="'LAFs'!B74" display="x1 = 2004. Loss adjustment factor to transmission for each network level"/>
    <hyperlink ref="A224" location="'LAFs'!B194" display="x2 = 2011. Network use factors for all tariffs"/>
    <hyperlink ref="A225" location="'LAFs'!I13" display="x3 = 2001. Loss adjustment factor to transmission (in Loss adjustment factors to transmission)"/>
  </hyperlink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>
      <c r="A1" s="1">
        <f>"Network model"&amp;" for "&amp;'Input'!B7&amp;" in "&amp;'Input'!C7&amp;" ("&amp;'Input'!D7&amp;")"</f>
        <v>0</v>
      </c>
    </row>
    <row r="2" spans="1:3">
      <c r="A2" s="2" t="s">
        <v>398</v>
      </c>
    </row>
    <row r="4" spans="1:3">
      <c r="A4" s="1" t="s">
        <v>399</v>
      </c>
    </row>
    <row r="5" spans="1:3">
      <c r="A5" s="2" t="s">
        <v>349</v>
      </c>
    </row>
    <row r="6" spans="1:3">
      <c r="A6" s="12" t="s">
        <v>400</v>
      </c>
    </row>
    <row r="7" spans="1:3">
      <c r="A7" s="12" t="s">
        <v>401</v>
      </c>
    </row>
    <row r="8" spans="1:3">
      <c r="A8" s="12" t="s">
        <v>402</v>
      </c>
    </row>
    <row r="9" spans="1:3">
      <c r="A9" s="2" t="s">
        <v>403</v>
      </c>
    </row>
    <row r="11" spans="1:3">
      <c r="B11" s="3" t="s">
        <v>404</v>
      </c>
    </row>
    <row r="12" spans="1:3">
      <c r="A12" s="11" t="s">
        <v>404</v>
      </c>
      <c r="B12" s="29">
        <f>PMT('Input'!B58,'Input'!C58,-1)*IF(OR('Input'!F58&gt;366,'Input'!F58&lt;365),'Input'!F58/365.25,1)</f>
        <v>0</v>
      </c>
      <c r="C12" s="10"/>
    </row>
    <row r="14" spans="1:3">
      <c r="A14" s="1" t="s">
        <v>405</v>
      </c>
    </row>
    <row r="15" spans="1:3">
      <c r="A15" s="2" t="s">
        <v>349</v>
      </c>
    </row>
    <row r="16" spans="1:3">
      <c r="A16" s="12" t="s">
        <v>406</v>
      </c>
    </row>
    <row r="17" spans="1:10">
      <c r="A17" s="2" t="s">
        <v>366</v>
      </c>
    </row>
    <row r="18" spans="1:10">
      <c r="A18" s="2" t="s">
        <v>367</v>
      </c>
    </row>
    <row r="20" spans="1:10">
      <c r="B20" s="3" t="s">
        <v>140</v>
      </c>
      <c r="C20" s="3" t="s">
        <v>141</v>
      </c>
      <c r="D20" s="3" t="s">
        <v>142</v>
      </c>
      <c r="E20" s="3" t="s">
        <v>143</v>
      </c>
      <c r="F20" s="3" t="s">
        <v>144</v>
      </c>
      <c r="G20" s="3" t="s">
        <v>145</v>
      </c>
      <c r="H20" s="3" t="s">
        <v>146</v>
      </c>
      <c r="I20" s="3" t="s">
        <v>147</v>
      </c>
    </row>
    <row r="21" spans="1:10">
      <c r="A21" s="11" t="s">
        <v>407</v>
      </c>
      <c r="B21" s="5">
        <v>1</v>
      </c>
      <c r="C21" s="7">
        <f>'Input'!$B146</f>
        <v>0</v>
      </c>
      <c r="D21" s="7">
        <f>'Input'!$C146</f>
        <v>0</v>
      </c>
      <c r="E21" s="7">
        <f>'Input'!$D146</f>
        <v>0</v>
      </c>
      <c r="F21" s="7">
        <f>'Input'!$E146</f>
        <v>0</v>
      </c>
      <c r="G21" s="7">
        <f>'Input'!$F146</f>
        <v>0</v>
      </c>
      <c r="H21" s="7">
        <f>'Input'!$G146</f>
        <v>0</v>
      </c>
      <c r="I21" s="7">
        <f>'Input'!$H146</f>
        <v>0</v>
      </c>
      <c r="J21" s="10"/>
    </row>
    <row r="23" spans="1:10">
      <c r="A23" s="1" t="s">
        <v>408</v>
      </c>
    </row>
    <row r="24" spans="1:10">
      <c r="A24" s="2" t="s">
        <v>349</v>
      </c>
    </row>
    <row r="25" spans="1:10">
      <c r="A25" s="12" t="s">
        <v>409</v>
      </c>
    </row>
    <row r="26" spans="1:10">
      <c r="A26" s="12" t="s">
        <v>410</v>
      </c>
    </row>
    <row r="27" spans="1:10">
      <c r="A27" s="26" t="s">
        <v>352</v>
      </c>
      <c r="B27" s="26" t="s">
        <v>411</v>
      </c>
      <c r="C27" s="26" t="s">
        <v>412</v>
      </c>
    </row>
    <row r="28" spans="1:10">
      <c r="A28" s="26" t="s">
        <v>355</v>
      </c>
      <c r="B28" s="26" t="s">
        <v>413</v>
      </c>
      <c r="C28" s="26" t="s">
        <v>414</v>
      </c>
    </row>
    <row r="30" spans="1:10">
      <c r="B30" s="3" t="s">
        <v>415</v>
      </c>
      <c r="C30" s="3" t="s">
        <v>416</v>
      </c>
    </row>
    <row r="31" spans="1:10">
      <c r="A31" s="11" t="s">
        <v>140</v>
      </c>
      <c r="B31" s="6">
        <f>$B$21</f>
        <v>0</v>
      </c>
      <c r="C31" s="9"/>
      <c r="D31" s="10"/>
    </row>
    <row r="32" spans="1:10">
      <c r="A32" s="11" t="s">
        <v>141</v>
      </c>
      <c r="B32" s="6">
        <f>$C$21</f>
        <v>0</v>
      </c>
      <c r="C32" s="6">
        <f>B31</f>
        <v>0</v>
      </c>
      <c r="D32" s="10"/>
    </row>
    <row r="33" spans="1:5">
      <c r="A33" s="11" t="s">
        <v>142</v>
      </c>
      <c r="B33" s="6">
        <f>$D$21</f>
        <v>0</v>
      </c>
      <c r="C33" s="6">
        <f>B32</f>
        <v>0</v>
      </c>
      <c r="D33" s="10"/>
    </row>
    <row r="34" spans="1:5">
      <c r="A34" s="11" t="s">
        <v>143</v>
      </c>
      <c r="B34" s="6">
        <f>$E$21</f>
        <v>0</v>
      </c>
      <c r="C34" s="6">
        <f>B33</f>
        <v>0</v>
      </c>
      <c r="D34" s="10"/>
    </row>
    <row r="35" spans="1:5">
      <c r="A35" s="11" t="s">
        <v>144</v>
      </c>
      <c r="B35" s="6">
        <f>$F$21</f>
        <v>0</v>
      </c>
      <c r="C35" s="6">
        <f>B34</f>
        <v>0</v>
      </c>
      <c r="D35" s="10"/>
    </row>
    <row r="36" spans="1:5">
      <c r="A36" s="11" t="s">
        <v>145</v>
      </c>
      <c r="B36" s="6">
        <f>$G$21</f>
        <v>0</v>
      </c>
      <c r="C36" s="6">
        <f>B35</f>
        <v>0</v>
      </c>
      <c r="D36" s="10"/>
    </row>
    <row r="37" spans="1:5">
      <c r="A37" s="11" t="s">
        <v>146</v>
      </c>
      <c r="B37" s="6">
        <f>$H$21</f>
        <v>0</v>
      </c>
      <c r="C37" s="6">
        <f>B36</f>
        <v>0</v>
      </c>
      <c r="D37" s="10"/>
    </row>
    <row r="38" spans="1:5">
      <c r="A38" s="11" t="s">
        <v>147</v>
      </c>
      <c r="B38" s="6">
        <f>$I$21</f>
        <v>0</v>
      </c>
      <c r="C38" s="6">
        <f>B37</f>
        <v>0</v>
      </c>
      <c r="D38" s="10"/>
    </row>
    <row r="40" spans="1:5">
      <c r="A40" s="1" t="s">
        <v>417</v>
      </c>
    </row>
    <row r="41" spans="1:5">
      <c r="A41" s="2" t="s">
        <v>349</v>
      </c>
    </row>
    <row r="42" spans="1:5">
      <c r="A42" s="12" t="s">
        <v>418</v>
      </c>
    </row>
    <row r="43" spans="1:5">
      <c r="A43" s="12" t="s">
        <v>419</v>
      </c>
    </row>
    <row r="44" spans="1:5">
      <c r="A44" s="26" t="s">
        <v>352</v>
      </c>
      <c r="B44" s="26" t="s">
        <v>420</v>
      </c>
      <c r="C44" s="26" t="s">
        <v>420</v>
      </c>
      <c r="D44" s="26" t="s">
        <v>420</v>
      </c>
    </row>
    <row r="45" spans="1:5">
      <c r="A45" s="26" t="s">
        <v>355</v>
      </c>
      <c r="B45" s="26" t="s">
        <v>421</v>
      </c>
      <c r="C45" s="26" t="s">
        <v>421</v>
      </c>
      <c r="D45" s="26" t="s">
        <v>422</v>
      </c>
    </row>
    <row r="47" spans="1:5">
      <c r="B47" s="3" t="s">
        <v>423</v>
      </c>
      <c r="C47" s="3" t="s">
        <v>424</v>
      </c>
      <c r="D47" s="3" t="s">
        <v>425</v>
      </c>
    </row>
    <row r="48" spans="1:5">
      <c r="A48" s="11" t="s">
        <v>140</v>
      </c>
      <c r="B48" s="9"/>
      <c r="C48" s="29">
        <f>1/(1+'Input'!B68)</f>
        <v>0</v>
      </c>
      <c r="D48" s="29">
        <f>1/C48-1</f>
        <v>0</v>
      </c>
      <c r="E48" s="10"/>
    </row>
    <row r="49" spans="1:5">
      <c r="A49" s="11" t="s">
        <v>141</v>
      </c>
      <c r="B49" s="29">
        <f>1/(1+'Input'!B69)</f>
        <v>0</v>
      </c>
      <c r="C49" s="29">
        <f>C48/(1+'Input'!B69)</f>
        <v>0</v>
      </c>
      <c r="D49" s="29">
        <f>1/C49-1</f>
        <v>0</v>
      </c>
      <c r="E49" s="10"/>
    </row>
    <row r="50" spans="1:5">
      <c r="A50" s="11" t="s">
        <v>142</v>
      </c>
      <c r="B50" s="29">
        <f>B49/(1+'Input'!B70)</f>
        <v>0</v>
      </c>
      <c r="C50" s="29">
        <f>C49/(1+'Input'!B70)</f>
        <v>0</v>
      </c>
      <c r="D50" s="29">
        <f>1/C50-1</f>
        <v>0</v>
      </c>
      <c r="E50" s="10"/>
    </row>
    <row r="51" spans="1:5">
      <c r="A51" s="11" t="s">
        <v>143</v>
      </c>
      <c r="B51" s="29">
        <f>B50/(1+'Input'!B71)</f>
        <v>0</v>
      </c>
      <c r="C51" s="29">
        <f>C50/(1+'Input'!B71)</f>
        <v>0</v>
      </c>
      <c r="D51" s="29">
        <f>1/C51-1</f>
        <v>0</v>
      </c>
      <c r="E51" s="10"/>
    </row>
    <row r="52" spans="1:5">
      <c r="A52" s="11" t="s">
        <v>144</v>
      </c>
      <c r="B52" s="29">
        <f>B51/(1+'Input'!B72)</f>
        <v>0</v>
      </c>
      <c r="C52" s="29">
        <f>C51/(1+'Input'!B72)</f>
        <v>0</v>
      </c>
      <c r="D52" s="29">
        <f>1/C52-1</f>
        <v>0</v>
      </c>
      <c r="E52" s="10"/>
    </row>
    <row r="53" spans="1:5">
      <c r="A53" s="11" t="s">
        <v>145</v>
      </c>
      <c r="B53" s="29">
        <f>B52/(1+'Input'!B73)</f>
        <v>0</v>
      </c>
      <c r="C53" s="29">
        <f>C52/(1+'Input'!B73)</f>
        <v>0</v>
      </c>
      <c r="D53" s="29">
        <f>1/C53-1</f>
        <v>0</v>
      </c>
      <c r="E53" s="10"/>
    </row>
    <row r="54" spans="1:5">
      <c r="A54" s="11" t="s">
        <v>146</v>
      </c>
      <c r="B54" s="29">
        <f>B53/(1+'Input'!B74)</f>
        <v>0</v>
      </c>
      <c r="C54" s="29">
        <f>C53/(1+'Input'!B74)</f>
        <v>0</v>
      </c>
      <c r="D54" s="29">
        <f>1/C54-1</f>
        <v>0</v>
      </c>
      <c r="E54" s="10"/>
    </row>
    <row r="55" spans="1:5">
      <c r="A55" s="11" t="s">
        <v>147</v>
      </c>
      <c r="B55" s="29">
        <f>B54/(1+'Input'!B75)</f>
        <v>0</v>
      </c>
      <c r="C55" s="29">
        <f>C54/(1+'Input'!B75)</f>
        <v>0</v>
      </c>
      <c r="D55" s="9"/>
      <c r="E55" s="10"/>
    </row>
    <row r="57" spans="1:5">
      <c r="A57" s="1" t="s">
        <v>426</v>
      </c>
    </row>
    <row r="58" spans="1:5">
      <c r="A58" s="2" t="s">
        <v>349</v>
      </c>
    </row>
    <row r="59" spans="1:5">
      <c r="A59" s="12" t="s">
        <v>427</v>
      </c>
    </row>
    <row r="60" spans="1:5">
      <c r="A60" s="12" t="s">
        <v>428</v>
      </c>
    </row>
    <row r="61" spans="1:5">
      <c r="A61" s="2" t="s">
        <v>429</v>
      </c>
    </row>
    <row r="63" spans="1:5">
      <c r="B63" s="3" t="s">
        <v>430</v>
      </c>
    </row>
    <row r="64" spans="1:5">
      <c r="A64" s="11" t="s">
        <v>141</v>
      </c>
      <c r="B64" s="6">
        <f>'Input'!B$85/B$49</f>
        <v>0</v>
      </c>
      <c r="C64" s="10"/>
    </row>
    <row r="65" spans="1:3">
      <c r="A65" s="11" t="s">
        <v>142</v>
      </c>
      <c r="B65" s="6">
        <f>'Input'!B$85/B$50</f>
        <v>0</v>
      </c>
      <c r="C65" s="10"/>
    </row>
    <row r="66" spans="1:3">
      <c r="A66" s="11" t="s">
        <v>143</v>
      </c>
      <c r="B66" s="6">
        <f>'Input'!B$85/B$51</f>
        <v>0</v>
      </c>
      <c r="C66" s="10"/>
    </row>
    <row r="67" spans="1:3">
      <c r="A67" s="11" t="s">
        <v>144</v>
      </c>
      <c r="B67" s="6">
        <f>'Input'!B$85/B$52</f>
        <v>0</v>
      </c>
      <c r="C67" s="10"/>
    </row>
    <row r="68" spans="1:3">
      <c r="A68" s="11" t="s">
        <v>145</v>
      </c>
      <c r="B68" s="6">
        <f>'Input'!B$85/B$53</f>
        <v>0</v>
      </c>
      <c r="C68" s="10"/>
    </row>
    <row r="69" spans="1:3">
      <c r="A69" s="11" t="s">
        <v>146</v>
      </c>
      <c r="B69" s="6">
        <f>'Input'!B$85/B$54</f>
        <v>0</v>
      </c>
      <c r="C69" s="10"/>
    </row>
    <row r="70" spans="1:3">
      <c r="A70" s="11" t="s">
        <v>147</v>
      </c>
      <c r="B70" s="6">
        <f>'Input'!B$85/B$55</f>
        <v>0</v>
      </c>
      <c r="C70" s="10"/>
    </row>
    <row r="72" spans="1:3">
      <c r="A72" s="1" t="s">
        <v>431</v>
      </c>
    </row>
    <row r="73" spans="1:3">
      <c r="A73" s="2" t="s">
        <v>349</v>
      </c>
    </row>
    <row r="74" spans="1:3">
      <c r="A74" s="12" t="s">
        <v>432</v>
      </c>
    </row>
    <row r="75" spans="1:3">
      <c r="A75" s="12" t="s">
        <v>433</v>
      </c>
    </row>
    <row r="76" spans="1:3">
      <c r="A76" s="12" t="s">
        <v>434</v>
      </c>
    </row>
    <row r="77" spans="1:3">
      <c r="A77" s="2" t="s">
        <v>435</v>
      </c>
    </row>
    <row r="79" spans="1:3">
      <c r="B79" s="3" t="s">
        <v>436</v>
      </c>
    </row>
    <row r="80" spans="1:3">
      <c r="A80" s="11" t="s">
        <v>141</v>
      </c>
      <c r="B80" s="6">
        <f>B64*C$49/B$32</f>
        <v>0</v>
      </c>
      <c r="C80" s="10"/>
    </row>
    <row r="81" spans="1:3">
      <c r="A81" s="11" t="s">
        <v>142</v>
      </c>
      <c r="B81" s="6">
        <f>B65*C$50/B$33</f>
        <v>0</v>
      </c>
      <c r="C81" s="10"/>
    </row>
    <row r="82" spans="1:3">
      <c r="A82" s="11" t="s">
        <v>143</v>
      </c>
      <c r="B82" s="6">
        <f>B66*C$51/B$34</f>
        <v>0</v>
      </c>
      <c r="C82" s="10"/>
    </row>
    <row r="83" spans="1:3">
      <c r="A83" s="11" t="s">
        <v>144</v>
      </c>
      <c r="B83" s="6">
        <f>B67*C$52/B$35</f>
        <v>0</v>
      </c>
      <c r="C83" s="10"/>
    </row>
    <row r="84" spans="1:3">
      <c r="A84" s="11" t="s">
        <v>145</v>
      </c>
      <c r="B84" s="6">
        <f>B68*C$53/B$36</f>
        <v>0</v>
      </c>
      <c r="C84" s="10"/>
    </row>
    <row r="85" spans="1:3">
      <c r="A85" s="11" t="s">
        <v>146</v>
      </c>
      <c r="B85" s="6">
        <f>B69*C$54/B$37</f>
        <v>0</v>
      </c>
      <c r="C85" s="10"/>
    </row>
    <row r="86" spans="1:3">
      <c r="A86" s="11" t="s">
        <v>147</v>
      </c>
      <c r="B86" s="6">
        <f>B70*C$55/B$38</f>
        <v>0</v>
      </c>
      <c r="C86" s="10"/>
    </row>
    <row r="88" spans="1:3">
      <c r="A88" s="1" t="s">
        <v>437</v>
      </c>
    </row>
    <row r="89" spans="1:3">
      <c r="A89" s="2" t="s">
        <v>349</v>
      </c>
    </row>
    <row r="90" spans="1:3">
      <c r="A90" s="12" t="s">
        <v>374</v>
      </c>
    </row>
    <row r="91" spans="1:3">
      <c r="A91" s="12" t="s">
        <v>379</v>
      </c>
    </row>
    <row r="92" spans="1:3">
      <c r="A92" s="12" t="s">
        <v>380</v>
      </c>
    </row>
    <row r="93" spans="1:3">
      <c r="A93" s="12" t="s">
        <v>381</v>
      </c>
    </row>
    <row r="94" spans="1:3">
      <c r="A94" s="2" t="s">
        <v>382</v>
      </c>
    </row>
    <row r="95" spans="1:3">
      <c r="A95" s="2" t="s">
        <v>438</v>
      </c>
    </row>
    <row r="97" spans="1:10">
      <c r="B97" s="3" t="s">
        <v>141</v>
      </c>
      <c r="C97" s="3" t="s">
        <v>142</v>
      </c>
      <c r="D97" s="3" t="s">
        <v>143</v>
      </c>
      <c r="E97" s="3" t="s">
        <v>144</v>
      </c>
      <c r="F97" s="3" t="s">
        <v>149</v>
      </c>
      <c r="G97" s="3" t="s">
        <v>145</v>
      </c>
      <c r="H97" s="3" t="s">
        <v>146</v>
      </c>
      <c r="I97" s="3" t="s">
        <v>147</v>
      </c>
    </row>
    <row r="98" spans="1:10">
      <c r="A98" s="11" t="s">
        <v>141</v>
      </c>
      <c r="B98" s="30">
        <v>1</v>
      </c>
      <c r="C98" s="30">
        <v>0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0</v>
      </c>
      <c r="J98" s="10"/>
    </row>
    <row r="99" spans="1:10">
      <c r="A99" s="11" t="s">
        <v>142</v>
      </c>
      <c r="B99" s="30">
        <v>0</v>
      </c>
      <c r="C99" s="31">
        <f>'LAFs'!$B$115</f>
        <v>0</v>
      </c>
      <c r="D99" s="30">
        <v>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10"/>
    </row>
    <row r="100" spans="1:10">
      <c r="A100" s="11" t="s">
        <v>143</v>
      </c>
      <c r="B100" s="30">
        <v>0</v>
      </c>
      <c r="C100" s="30">
        <v>0</v>
      </c>
      <c r="D100" s="31">
        <f>'LAFs'!$B$123</f>
        <v>0</v>
      </c>
      <c r="E100" s="30">
        <v>0</v>
      </c>
      <c r="F100" s="30">
        <v>0</v>
      </c>
      <c r="G100" s="30">
        <v>0</v>
      </c>
      <c r="H100" s="30">
        <v>0</v>
      </c>
      <c r="I100" s="30">
        <v>0</v>
      </c>
      <c r="J100" s="10"/>
    </row>
    <row r="101" spans="1:10">
      <c r="A101" s="11" t="s">
        <v>144</v>
      </c>
      <c r="B101" s="30">
        <v>0</v>
      </c>
      <c r="C101" s="30">
        <v>0</v>
      </c>
      <c r="D101" s="30">
        <v>0</v>
      </c>
      <c r="E101" s="31">
        <f>'LAFs'!$B$131</f>
        <v>0</v>
      </c>
      <c r="F101" s="31">
        <f>'Input'!$B$80</f>
        <v>0</v>
      </c>
      <c r="G101" s="30">
        <v>0</v>
      </c>
      <c r="H101" s="30">
        <v>0</v>
      </c>
      <c r="I101" s="30">
        <v>0</v>
      </c>
      <c r="J101" s="10"/>
    </row>
    <row r="102" spans="1:10">
      <c r="A102" s="11" t="s">
        <v>145</v>
      </c>
      <c r="B102" s="30">
        <v>0</v>
      </c>
      <c r="C102" s="30">
        <v>0</v>
      </c>
      <c r="D102" s="30">
        <v>0</v>
      </c>
      <c r="E102" s="30">
        <v>0</v>
      </c>
      <c r="F102" s="30">
        <v>0</v>
      </c>
      <c r="G102" s="30">
        <v>1</v>
      </c>
      <c r="H102" s="30">
        <v>0</v>
      </c>
      <c r="I102" s="30">
        <v>0</v>
      </c>
      <c r="J102" s="10"/>
    </row>
    <row r="103" spans="1:10">
      <c r="A103" s="11" t="s">
        <v>146</v>
      </c>
      <c r="B103" s="30">
        <v>0</v>
      </c>
      <c r="C103" s="30">
        <v>0</v>
      </c>
      <c r="D103" s="30">
        <v>0</v>
      </c>
      <c r="E103" s="30">
        <v>0</v>
      </c>
      <c r="F103" s="30">
        <v>0</v>
      </c>
      <c r="G103" s="30">
        <v>0</v>
      </c>
      <c r="H103" s="30">
        <v>1</v>
      </c>
      <c r="I103" s="30">
        <v>0</v>
      </c>
      <c r="J103" s="10"/>
    </row>
    <row r="104" spans="1:10">
      <c r="A104" s="11" t="s">
        <v>147</v>
      </c>
      <c r="B104" s="30">
        <v>0</v>
      </c>
      <c r="C104" s="30">
        <v>0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30">
        <v>1</v>
      </c>
      <c r="J104" s="10"/>
    </row>
    <row r="106" spans="1:10">
      <c r="A106" s="1" t="s">
        <v>439</v>
      </c>
    </row>
    <row r="107" spans="1:10">
      <c r="A107" s="2" t="s">
        <v>349</v>
      </c>
    </row>
    <row r="108" spans="1:10">
      <c r="A108" s="12" t="s">
        <v>440</v>
      </c>
    </row>
    <row r="109" spans="1:10">
      <c r="A109" s="12" t="s">
        <v>441</v>
      </c>
    </row>
    <row r="110" spans="1:10">
      <c r="A110" s="2" t="s">
        <v>362</v>
      </c>
    </row>
    <row r="112" spans="1:10">
      <c r="B112" s="3" t="s">
        <v>442</v>
      </c>
    </row>
    <row r="113" spans="1:3">
      <c r="A113" s="11" t="s">
        <v>141</v>
      </c>
      <c r="B113" s="6">
        <f>SUMPRODUCT(B$80:B$86,$B$98:$B$104)</f>
        <v>0</v>
      </c>
      <c r="C113" s="10"/>
    </row>
    <row r="114" spans="1:3">
      <c r="A114" s="11" t="s">
        <v>142</v>
      </c>
      <c r="B114" s="6">
        <f>SUMPRODUCT(B$80:B$86,$C$98:$C$104)</f>
        <v>0</v>
      </c>
      <c r="C114" s="10"/>
    </row>
    <row r="115" spans="1:3">
      <c r="A115" s="11" t="s">
        <v>143</v>
      </c>
      <c r="B115" s="6">
        <f>SUMPRODUCT(B$80:B$86,$D$98:$D$104)</f>
        <v>0</v>
      </c>
      <c r="C115" s="10"/>
    </row>
    <row r="116" spans="1:3">
      <c r="A116" s="11" t="s">
        <v>144</v>
      </c>
      <c r="B116" s="6">
        <f>SUMPRODUCT(B$80:B$86,$E$98:$E$104)</f>
        <v>0</v>
      </c>
      <c r="C116" s="10"/>
    </row>
    <row r="117" spans="1:3">
      <c r="A117" s="11" t="s">
        <v>149</v>
      </c>
      <c r="B117" s="6">
        <f>SUMPRODUCT(B$80:B$86,$F$98:$F$104)</f>
        <v>0</v>
      </c>
      <c r="C117" s="10"/>
    </row>
    <row r="118" spans="1:3">
      <c r="A118" s="11" t="s">
        <v>145</v>
      </c>
      <c r="B118" s="6">
        <f>SUMPRODUCT(B$80:B$86,$G$98:$G$104)</f>
        <v>0</v>
      </c>
      <c r="C118" s="10"/>
    </row>
    <row r="119" spans="1:3">
      <c r="A119" s="11" t="s">
        <v>146</v>
      </c>
      <c r="B119" s="6">
        <f>SUMPRODUCT(B$80:B$86,$H$98:$H$104)</f>
        <v>0</v>
      </c>
      <c r="C119" s="10"/>
    </row>
    <row r="120" spans="1:3">
      <c r="A120" s="11" t="s">
        <v>147</v>
      </c>
      <c r="B120" s="6">
        <f>SUMPRODUCT(B$80:B$86,$I$98:$I$104)</f>
        <v>0</v>
      </c>
      <c r="C120" s="10"/>
    </row>
    <row r="122" spans="1:3">
      <c r="A122" s="1" t="s">
        <v>443</v>
      </c>
    </row>
    <row r="123" spans="1:3">
      <c r="A123" s="2" t="s">
        <v>349</v>
      </c>
    </row>
    <row r="124" spans="1:3">
      <c r="A124" s="12" t="s">
        <v>444</v>
      </c>
    </row>
    <row r="125" spans="1:3">
      <c r="A125" s="12" t="s">
        <v>445</v>
      </c>
    </row>
    <row r="126" spans="1:3">
      <c r="A126" s="12" t="s">
        <v>446</v>
      </c>
    </row>
    <row r="127" spans="1:3">
      <c r="A127" s="2" t="s">
        <v>447</v>
      </c>
    </row>
    <row r="129" spans="1:3">
      <c r="B129" s="3" t="s">
        <v>448</v>
      </c>
    </row>
    <row r="130" spans="1:3">
      <c r="A130" s="11" t="s">
        <v>449</v>
      </c>
      <c r="B130" s="6">
        <f>IF(B113,0.001*'Input'!B90*B$12/B113,0)</f>
        <v>0</v>
      </c>
      <c r="C130" s="10"/>
    </row>
    <row r="131" spans="1:3">
      <c r="A131" s="11" t="s">
        <v>450</v>
      </c>
      <c r="B131" s="6">
        <f>IF(B114,0.001*'Input'!B91*B$12/B114,0)</f>
        <v>0</v>
      </c>
      <c r="C131" s="10"/>
    </row>
    <row r="132" spans="1:3">
      <c r="A132" s="11" t="s">
        <v>451</v>
      </c>
      <c r="B132" s="6">
        <f>IF(B115,0.001*'Input'!B92*B$12/B115,0)</f>
        <v>0</v>
      </c>
      <c r="C132" s="10"/>
    </row>
    <row r="133" spans="1:3">
      <c r="A133" s="11" t="s">
        <v>452</v>
      </c>
      <c r="B133" s="6">
        <f>IF(B116,0.001*'Input'!B93*B$12/B116,0)</f>
        <v>0</v>
      </c>
      <c r="C133" s="10"/>
    </row>
    <row r="134" spans="1:3">
      <c r="A134" s="11" t="s">
        <v>453</v>
      </c>
      <c r="B134" s="6">
        <f>IF(B117,0.001*'Input'!B94*B$12/B117,0)</f>
        <v>0</v>
      </c>
      <c r="C134" s="10"/>
    </row>
    <row r="135" spans="1:3">
      <c r="A135" s="11" t="s">
        <v>454</v>
      </c>
      <c r="B135" s="6">
        <f>IF(B118,0.001*'Input'!B95*B$12/B118,0)</f>
        <v>0</v>
      </c>
      <c r="C135" s="10"/>
    </row>
    <row r="136" spans="1:3">
      <c r="A136" s="11" t="s">
        <v>455</v>
      </c>
      <c r="B136" s="6">
        <f>IF(B119,0.001*'Input'!B96*B$12/B119,0)</f>
        <v>0</v>
      </c>
      <c r="C136" s="10"/>
    </row>
    <row r="137" spans="1:3">
      <c r="A137" s="11" t="s">
        <v>456</v>
      </c>
      <c r="B137" s="6">
        <f>IF(B120,0.001*'Input'!B97*B$12/B120,0)</f>
        <v>0</v>
      </c>
      <c r="C137" s="10"/>
    </row>
  </sheetData>
  <sheetProtection sheet="1" objects="1" scenarios="1"/>
  <hyperlinks>
    <hyperlink ref="A6" location="'Input'!B57" display="x1 = 1010. Rate of return (in Financial and general assumptions)"/>
    <hyperlink ref="A7" location="'Input'!C57" display="x2 = 1010. Annualisation period (years) (in Financial and general assumptions)"/>
    <hyperlink ref="A8" location="'Input'!F57" display="x3 = 1010. Days in the charging year (in Financial and general assumptions)"/>
    <hyperlink ref="A16" location="'Input'!B145" display="x1 = 1032. Loss adjustment factors to transmission"/>
    <hyperlink ref="A25" location="'DRM'!B20" display="x1 = 2102. Loss adjustment factor to transmission for each core level"/>
    <hyperlink ref="A26" location="'DRM'!B30" display="x2 = Loss adjustment factor to transmission for network level exit (in Loss adjustment factors)"/>
    <hyperlink ref="A42" location="'Input'!B67" display="x1 = 1017. Diversity allowance between top and bottom of network level"/>
    <hyperlink ref="A43" location="'DRM'!C47" display="x2 = Coincidence to system peak at level exit (in Diversity calculations)"/>
    <hyperlink ref="A59" location="'Input'!B84" display="x1 = 1019. Network model GSP peak demand (MW)"/>
    <hyperlink ref="A60" location="'DRM'!B47" display="x2 = 2104. Coincidence to GSP peak at level exit (in Diversity calculations)"/>
    <hyperlink ref="A74" location="'DRM'!B63" display="x1 = 2105. Network model total maximum demand at substation (MW)"/>
    <hyperlink ref="A75" location="'DRM'!C47" display="x2 = 2104. Coincidence to system peak at level exit (in Diversity calculations)"/>
    <hyperlink ref="A76" location="'DRM'!B30" display="x3 = 2103. Loss adjustment factor to transmission for network level exit (in Loss adjustment factors)"/>
    <hyperlink ref="A90" location="'Input'!B79" display="x1 = 1018. Proportion of relevant load going through 132kV/HV direct transformation"/>
    <hyperlink ref="A91" location="'LAFs'!B114" display="x2 = 2006. Proportion going through 132kV/EHV"/>
    <hyperlink ref="A92" location="'LAFs'!B122" display="x3 = 2007. Proportion going through EHV"/>
    <hyperlink ref="A93" location="'LAFs'!B130" display="x4 = 2008. Proportion going through EHV/HV"/>
    <hyperlink ref="A108" location="'DRM'!B79" display="x1 = 2106. Network model contribution to system maximum load measured at network level exit (MW)"/>
    <hyperlink ref="A109" location="'DRM'!B97" display="x2 = 2107. Rerouteing matrix for DRM network levels"/>
    <hyperlink ref="A124" location="'DRM'!B112" display="x1 = 2108. GSP simultaneous maximum load assumed through each network level (MW)"/>
    <hyperlink ref="A125" location="'Input'!B89" display="x2 = 1020. Gross asset cost by network level (£)"/>
    <hyperlink ref="A126" location="'DRM'!B11" display="x3 = 2101. Annuity rate"/>
  </hyperlink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>
      <c r="A1" s="1">
        <f>"Service models"&amp;" for "&amp;'Input'!B7&amp;" in "&amp;'Input'!C7&amp;" ("&amp;'Input'!D7&amp;")"</f>
        <v>0</v>
      </c>
    </row>
    <row r="2" spans="1:3">
      <c r="A2" s="2" t="s">
        <v>457</v>
      </c>
    </row>
    <row r="4" spans="1:3">
      <c r="A4" s="1" t="s">
        <v>458</v>
      </c>
    </row>
    <row r="5" spans="1:3">
      <c r="A5" s="2" t="s">
        <v>349</v>
      </c>
    </row>
    <row r="6" spans="1:3">
      <c r="A6" s="12" t="s">
        <v>459</v>
      </c>
    </row>
    <row r="7" spans="1:3">
      <c r="A7" s="12" t="s">
        <v>460</v>
      </c>
    </row>
    <row r="8" spans="1:3">
      <c r="A8" s="2" t="s">
        <v>362</v>
      </c>
    </row>
    <row r="10" spans="1:3">
      <c r="B10" s="3" t="s">
        <v>461</v>
      </c>
    </row>
    <row r="11" spans="1:3">
      <c r="A11" s="11" t="s">
        <v>172</v>
      </c>
      <c r="B11" s="17">
        <f>SUMPRODUCT('Input'!$B112:$I112,'Input'!$B$102:$I$102)</f>
        <v>0</v>
      </c>
      <c r="C11" s="10"/>
    </row>
    <row r="12" spans="1:3">
      <c r="A12" s="11" t="s">
        <v>173</v>
      </c>
      <c r="B12" s="17">
        <f>SUMPRODUCT('Input'!$B113:$I113,'Input'!$B$102:$I$102)</f>
        <v>0</v>
      </c>
      <c r="C12" s="10"/>
    </row>
    <row r="13" spans="1:3">
      <c r="A13" s="11" t="s">
        <v>174</v>
      </c>
      <c r="B13" s="17">
        <f>SUMPRODUCT('Input'!$B114:$I114,'Input'!$B$102:$I$102)</f>
        <v>0</v>
      </c>
      <c r="C13" s="10"/>
    </row>
    <row r="14" spans="1:3">
      <c r="A14" s="11" t="s">
        <v>175</v>
      </c>
      <c r="B14" s="17">
        <f>SUMPRODUCT('Input'!$B115:$I115,'Input'!$B$102:$I$102)</f>
        <v>0</v>
      </c>
      <c r="C14" s="10"/>
    </row>
    <row r="15" spans="1:3">
      <c r="A15" s="11" t="s">
        <v>176</v>
      </c>
      <c r="B15" s="17">
        <f>SUMPRODUCT('Input'!$B116:$I116,'Input'!$B$102:$I$102)</f>
        <v>0</v>
      </c>
      <c r="C15" s="10"/>
    </row>
    <row r="16" spans="1:3">
      <c r="A16" s="11" t="s">
        <v>177</v>
      </c>
      <c r="B16" s="17">
        <f>SUMPRODUCT('Input'!$B117:$I117,'Input'!$B$102:$I$102)</f>
        <v>0</v>
      </c>
      <c r="C16" s="10"/>
    </row>
    <row r="17" spans="1:3">
      <c r="A17" s="11" t="s">
        <v>178</v>
      </c>
      <c r="B17" s="17">
        <f>SUMPRODUCT('Input'!$B118:$I118,'Input'!$B$102:$I$102)</f>
        <v>0</v>
      </c>
      <c r="C17" s="10"/>
    </row>
    <row r="18" spans="1:3">
      <c r="A18" s="11" t="s">
        <v>179</v>
      </c>
      <c r="B18" s="17">
        <f>SUMPRODUCT('Input'!$B119:$I119,'Input'!$B$102:$I$102)</f>
        <v>0</v>
      </c>
      <c r="C18" s="10"/>
    </row>
    <row r="19" spans="1:3">
      <c r="A19" s="11" t="s">
        <v>180</v>
      </c>
      <c r="B19" s="17">
        <f>SUMPRODUCT('Input'!$B120:$I120,'Input'!$B$102:$I$102)</f>
        <v>0</v>
      </c>
      <c r="C19" s="10"/>
    </row>
    <row r="20" spans="1:3">
      <c r="A20" s="11" t="s">
        <v>181</v>
      </c>
      <c r="B20" s="17">
        <f>SUMPRODUCT('Input'!$B121:$I121,'Input'!$B$102:$I$102)</f>
        <v>0</v>
      </c>
      <c r="C20" s="10"/>
    </row>
    <row r="21" spans="1:3">
      <c r="A21" s="11" t="s">
        <v>182</v>
      </c>
      <c r="B21" s="17">
        <f>SUMPRODUCT('Input'!$B122:$I122,'Input'!$B$102:$I$102)</f>
        <v>0</v>
      </c>
      <c r="C21" s="10"/>
    </row>
    <row r="22" spans="1:3">
      <c r="A22" s="11" t="s">
        <v>183</v>
      </c>
      <c r="B22" s="17">
        <f>SUMPRODUCT('Input'!$B123:$I123,'Input'!$B$102:$I$102)</f>
        <v>0</v>
      </c>
      <c r="C22" s="10"/>
    </row>
    <row r="23" spans="1:3">
      <c r="A23" s="11" t="s">
        <v>184</v>
      </c>
      <c r="B23" s="17">
        <f>SUMPRODUCT('Input'!$B124:$I124,'Input'!$B$102:$I$102)</f>
        <v>0</v>
      </c>
      <c r="C23" s="10"/>
    </row>
    <row r="24" spans="1:3">
      <c r="A24" s="11" t="s">
        <v>185</v>
      </c>
      <c r="B24" s="17">
        <f>SUMPRODUCT('Input'!$B125:$I125,'Input'!$B$102:$I$102)</f>
        <v>0</v>
      </c>
      <c r="C24" s="10"/>
    </row>
    <row r="26" spans="1:3">
      <c r="A26" s="1" t="s">
        <v>462</v>
      </c>
    </row>
    <row r="27" spans="1:3">
      <c r="A27" s="2" t="s">
        <v>349</v>
      </c>
    </row>
    <row r="28" spans="1:3">
      <c r="A28" s="12" t="s">
        <v>463</v>
      </c>
    </row>
    <row r="29" spans="1:3">
      <c r="A29" s="12" t="s">
        <v>460</v>
      </c>
    </row>
    <row r="30" spans="1:3">
      <c r="A30" s="2" t="s">
        <v>362</v>
      </c>
    </row>
    <row r="32" spans="1:3">
      <c r="B32" s="3" t="s">
        <v>461</v>
      </c>
    </row>
    <row r="33" spans="1:3">
      <c r="A33" s="11" t="s">
        <v>464</v>
      </c>
      <c r="B33" s="17">
        <f>SUMPRODUCT('Input'!$B132:$I132,'Input'!$B$102:$I$102)</f>
        <v>0</v>
      </c>
      <c r="C33" s="10"/>
    </row>
    <row r="35" spans="1:3">
      <c r="A35" s="1" t="s">
        <v>465</v>
      </c>
    </row>
    <row r="36" spans="1:3">
      <c r="A36" s="2" t="s">
        <v>349</v>
      </c>
    </row>
    <row r="37" spans="1:3">
      <c r="A37" s="12" t="s">
        <v>466</v>
      </c>
    </row>
    <row r="38" spans="1:3">
      <c r="A38" s="12" t="s">
        <v>467</v>
      </c>
    </row>
    <row r="39" spans="1:3">
      <c r="A39" s="12" t="s">
        <v>446</v>
      </c>
    </row>
    <row r="40" spans="1:3">
      <c r="A40" s="2" t="s">
        <v>468</v>
      </c>
    </row>
    <row r="42" spans="1:3">
      <c r="B42" s="3" t="s">
        <v>461</v>
      </c>
    </row>
    <row r="43" spans="1:3">
      <c r="A43" s="11" t="s">
        <v>469</v>
      </c>
      <c r="B43" s="6">
        <f>0.1*'Input'!$D58*B33*'DRM'!$B12</f>
        <v>0</v>
      </c>
      <c r="C43" s="10"/>
    </row>
    <row r="45" spans="1:3">
      <c r="A45" s="1" t="s">
        <v>470</v>
      </c>
    </row>
    <row r="46" spans="1:3">
      <c r="A46" s="2" t="s">
        <v>349</v>
      </c>
    </row>
    <row r="47" spans="1:3">
      <c r="A47" s="12" t="s">
        <v>471</v>
      </c>
    </row>
    <row r="48" spans="1:3">
      <c r="A48" s="12" t="s">
        <v>472</v>
      </c>
    </row>
    <row r="49" spans="1:4">
      <c r="A49" s="2" t="s">
        <v>362</v>
      </c>
    </row>
    <row r="51" spans="1:4">
      <c r="B51" s="3" t="s">
        <v>473</v>
      </c>
    </row>
    <row r="52" spans="1:4">
      <c r="A52" s="11" t="s">
        <v>191</v>
      </c>
      <c r="B52" s="17">
        <f>SUMPRODUCT('Input'!$B137:$F137,'Input'!$B$107:$F$107)</f>
        <v>0</v>
      </c>
      <c r="C52" s="10"/>
    </row>
    <row r="53" spans="1:4">
      <c r="A53" s="11" t="s">
        <v>192</v>
      </c>
      <c r="B53" s="17">
        <f>SUMPRODUCT('Input'!$B138:$F138,'Input'!$B$107:$F$107)</f>
        <v>0</v>
      </c>
      <c r="C53" s="10"/>
    </row>
    <row r="54" spans="1:4">
      <c r="A54" s="11" t="s">
        <v>193</v>
      </c>
      <c r="B54" s="17">
        <f>SUMPRODUCT('Input'!$B139:$F139,'Input'!$B$107:$F$107)</f>
        <v>0</v>
      </c>
      <c r="C54" s="10"/>
    </row>
    <row r="55" spans="1:4">
      <c r="A55" s="11" t="s">
        <v>194</v>
      </c>
      <c r="B55" s="17">
        <f>SUMPRODUCT('Input'!$B140:$F140,'Input'!$B$107:$F$107)</f>
        <v>0</v>
      </c>
      <c r="C55" s="10"/>
    </row>
    <row r="57" spans="1:4">
      <c r="A57" s="1" t="s">
        <v>474</v>
      </c>
    </row>
    <row r="58" spans="1:4">
      <c r="A58" s="2" t="s">
        <v>349</v>
      </c>
    </row>
    <row r="59" spans="1:4">
      <c r="A59" s="12" t="s">
        <v>475</v>
      </c>
    </row>
    <row r="60" spans="1:4">
      <c r="A60" s="12" t="s">
        <v>476</v>
      </c>
    </row>
    <row r="61" spans="1:4">
      <c r="A61" s="2" t="s">
        <v>367</v>
      </c>
    </row>
    <row r="63" spans="1:4">
      <c r="B63" s="3" t="s">
        <v>461</v>
      </c>
      <c r="C63" s="3" t="s">
        <v>473</v>
      </c>
    </row>
    <row r="64" spans="1:4">
      <c r="A64" s="11" t="s">
        <v>172</v>
      </c>
      <c r="B64" s="7">
        <f>$B$11</f>
        <v>0</v>
      </c>
      <c r="C64" s="9"/>
      <c r="D64" s="10"/>
    </row>
    <row r="65" spans="1:4">
      <c r="A65" s="11" t="s">
        <v>173</v>
      </c>
      <c r="B65" s="7">
        <f>$B$12</f>
        <v>0</v>
      </c>
      <c r="C65" s="9"/>
      <c r="D65" s="10"/>
    </row>
    <row r="66" spans="1:4">
      <c r="A66" s="11" t="s">
        <v>210</v>
      </c>
      <c r="B66" s="9"/>
      <c r="C66" s="9"/>
      <c r="D66" s="10"/>
    </row>
    <row r="67" spans="1:4">
      <c r="A67" s="11" t="s">
        <v>174</v>
      </c>
      <c r="B67" s="7">
        <f>$B$13</f>
        <v>0</v>
      </c>
      <c r="C67" s="9"/>
      <c r="D67" s="10"/>
    </row>
    <row r="68" spans="1:4">
      <c r="A68" s="11" t="s">
        <v>175</v>
      </c>
      <c r="B68" s="7">
        <f>$B$14</f>
        <v>0</v>
      </c>
      <c r="C68" s="9"/>
      <c r="D68" s="10"/>
    </row>
    <row r="69" spans="1:4">
      <c r="A69" s="11" t="s">
        <v>211</v>
      </c>
      <c r="B69" s="9"/>
      <c r="C69" s="9"/>
      <c r="D69" s="10"/>
    </row>
    <row r="70" spans="1:4">
      <c r="A70" s="11" t="s">
        <v>176</v>
      </c>
      <c r="B70" s="7">
        <f>$B$15</f>
        <v>0</v>
      </c>
      <c r="C70" s="9"/>
      <c r="D70" s="10"/>
    </row>
    <row r="71" spans="1:4">
      <c r="A71" s="11" t="s">
        <v>177</v>
      </c>
      <c r="B71" s="7">
        <f>$B$16</f>
        <v>0</v>
      </c>
      <c r="C71" s="9"/>
      <c r="D71" s="10"/>
    </row>
    <row r="72" spans="1:4">
      <c r="A72" s="11" t="s">
        <v>191</v>
      </c>
      <c r="B72" s="9"/>
      <c r="C72" s="7">
        <f>$B$52</f>
        <v>0</v>
      </c>
      <c r="D72" s="10"/>
    </row>
    <row r="73" spans="1:4">
      <c r="A73" s="11" t="s">
        <v>178</v>
      </c>
      <c r="B73" s="7">
        <f>$B$17</f>
        <v>0</v>
      </c>
      <c r="C73" s="9"/>
      <c r="D73" s="10"/>
    </row>
    <row r="74" spans="1:4">
      <c r="A74" s="11" t="s">
        <v>179</v>
      </c>
      <c r="B74" s="7">
        <f>$B$18</f>
        <v>0</v>
      </c>
      <c r="C74" s="9"/>
      <c r="D74" s="10"/>
    </row>
    <row r="75" spans="1:4">
      <c r="A75" s="11" t="s">
        <v>192</v>
      </c>
      <c r="B75" s="9"/>
      <c r="C75" s="7">
        <f>$B$53</f>
        <v>0</v>
      </c>
      <c r="D75" s="10"/>
    </row>
    <row r="76" spans="1:4">
      <c r="A76" s="11" t="s">
        <v>212</v>
      </c>
      <c r="B76" s="9"/>
      <c r="C76" s="9"/>
      <c r="D76" s="10"/>
    </row>
    <row r="77" spans="1:4">
      <c r="A77" s="11" t="s">
        <v>213</v>
      </c>
      <c r="B77" s="9"/>
      <c r="C77" s="9"/>
      <c r="D77" s="10"/>
    </row>
    <row r="78" spans="1:4">
      <c r="A78" s="11" t="s">
        <v>214</v>
      </c>
      <c r="B78" s="9"/>
      <c r="C78" s="9"/>
      <c r="D78" s="10"/>
    </row>
    <row r="79" spans="1:4">
      <c r="A79" s="11" t="s">
        <v>215</v>
      </c>
      <c r="B79" s="9"/>
      <c r="C79" s="9"/>
      <c r="D79" s="10"/>
    </row>
    <row r="80" spans="1:4">
      <c r="A80" s="11" t="s">
        <v>216</v>
      </c>
      <c r="B80" s="9"/>
      <c r="C80" s="9"/>
      <c r="D80" s="10"/>
    </row>
    <row r="81" spans="1:4">
      <c r="A81" s="11" t="s">
        <v>180</v>
      </c>
      <c r="B81" s="7">
        <f>$B$19</f>
        <v>0</v>
      </c>
      <c r="C81" s="9"/>
      <c r="D81" s="10"/>
    </row>
    <row r="82" spans="1:4">
      <c r="A82" s="11" t="s">
        <v>181</v>
      </c>
      <c r="B82" s="7">
        <f>$B$20</f>
        <v>0</v>
      </c>
      <c r="C82" s="9"/>
      <c r="D82" s="10"/>
    </row>
    <row r="83" spans="1:4">
      <c r="A83" s="11" t="s">
        <v>182</v>
      </c>
      <c r="B83" s="7">
        <f>$B$21</f>
        <v>0</v>
      </c>
      <c r="C83" s="9"/>
      <c r="D83" s="10"/>
    </row>
    <row r="84" spans="1:4">
      <c r="A84" s="11" t="s">
        <v>183</v>
      </c>
      <c r="B84" s="7">
        <f>$B$22</f>
        <v>0</v>
      </c>
      <c r="C84" s="9"/>
      <c r="D84" s="10"/>
    </row>
    <row r="85" spans="1:4">
      <c r="A85" s="11" t="s">
        <v>184</v>
      </c>
      <c r="B85" s="7">
        <f>$B$23</f>
        <v>0</v>
      </c>
      <c r="C85" s="9"/>
      <c r="D85" s="10"/>
    </row>
    <row r="86" spans="1:4">
      <c r="A86" s="11" t="s">
        <v>185</v>
      </c>
      <c r="B86" s="7">
        <f>$B$24</f>
        <v>0</v>
      </c>
      <c r="C86" s="9"/>
      <c r="D86" s="10"/>
    </row>
    <row r="87" spans="1:4">
      <c r="A87" s="11" t="s">
        <v>193</v>
      </c>
      <c r="B87" s="9"/>
      <c r="C87" s="7">
        <f>$B$54</f>
        <v>0</v>
      </c>
      <c r="D87" s="10"/>
    </row>
    <row r="88" spans="1:4">
      <c r="A88" s="11" t="s">
        <v>194</v>
      </c>
      <c r="B88" s="9"/>
      <c r="C88" s="7">
        <f>$B$55</f>
        <v>0</v>
      </c>
      <c r="D88" s="10"/>
    </row>
    <row r="90" spans="1:4">
      <c r="A90" s="1" t="s">
        <v>477</v>
      </c>
    </row>
    <row r="91" spans="1:4">
      <c r="A91" s="2" t="s">
        <v>349</v>
      </c>
    </row>
    <row r="92" spans="1:4">
      <c r="A92" s="12" t="s">
        <v>478</v>
      </c>
    </row>
    <row r="93" spans="1:4">
      <c r="A93" s="12" t="s">
        <v>479</v>
      </c>
    </row>
    <row r="94" spans="1:4">
      <c r="A94" s="12" t="s">
        <v>446</v>
      </c>
    </row>
    <row r="95" spans="1:4">
      <c r="A95" s="12" t="s">
        <v>480</v>
      </c>
    </row>
    <row r="96" spans="1:4">
      <c r="A96" s="12" t="s">
        <v>481</v>
      </c>
    </row>
    <row r="97" spans="1:5">
      <c r="A97" s="26" t="s">
        <v>352</v>
      </c>
      <c r="B97" s="26" t="s">
        <v>482</v>
      </c>
      <c r="C97" s="26"/>
      <c r="D97" s="26" t="s">
        <v>483</v>
      </c>
    </row>
    <row r="98" spans="1:5">
      <c r="A98" s="26" t="s">
        <v>355</v>
      </c>
      <c r="B98" s="26" t="s">
        <v>484</v>
      </c>
      <c r="C98" s="26"/>
      <c r="D98" s="26" t="s">
        <v>485</v>
      </c>
    </row>
    <row r="100" spans="1:5">
      <c r="B100" s="25" t="s">
        <v>486</v>
      </c>
      <c r="C100" s="25"/>
    </row>
    <row r="101" spans="1:5">
      <c r="B101" s="3" t="s">
        <v>461</v>
      </c>
      <c r="C101" s="3" t="s">
        <v>473</v>
      </c>
      <c r="D101" s="3" t="s">
        <v>487</v>
      </c>
    </row>
    <row r="102" spans="1:5">
      <c r="A102" s="11" t="s">
        <v>172</v>
      </c>
      <c r="B102" s="6">
        <f>100/'Input'!$F$58*B64*'DRM'!$B$12*'Input'!$D$58</f>
        <v>0</v>
      </c>
      <c r="C102" s="6">
        <f>100/'Input'!$F$58*C64*'DRM'!$B$12*'Input'!$D$58</f>
        <v>0</v>
      </c>
      <c r="D102" s="6">
        <f>SUM($B102:$C102)</f>
        <v>0</v>
      </c>
      <c r="E102" s="10"/>
    </row>
    <row r="103" spans="1:5">
      <c r="A103" s="11" t="s">
        <v>173</v>
      </c>
      <c r="B103" s="6">
        <f>100/'Input'!$F$58*B65*'DRM'!$B$12*'Input'!$D$58</f>
        <v>0</v>
      </c>
      <c r="C103" s="6">
        <f>100/'Input'!$F$58*C65*'DRM'!$B$12*'Input'!$D$58</f>
        <v>0</v>
      </c>
      <c r="D103" s="6">
        <f>SUM($B103:$C103)</f>
        <v>0</v>
      </c>
      <c r="E103" s="10"/>
    </row>
    <row r="104" spans="1:5">
      <c r="A104" s="11" t="s">
        <v>210</v>
      </c>
      <c r="B104" s="6">
        <f>100/'Input'!$F$58*B66*'DRM'!$B$12*'Input'!$D$58</f>
        <v>0</v>
      </c>
      <c r="C104" s="6">
        <f>100/'Input'!$F$58*C66*'DRM'!$B$12*'Input'!$D$58</f>
        <v>0</v>
      </c>
      <c r="D104" s="6">
        <f>SUM($B104:$C104)</f>
        <v>0</v>
      </c>
      <c r="E104" s="10"/>
    </row>
    <row r="105" spans="1:5">
      <c r="A105" s="11" t="s">
        <v>174</v>
      </c>
      <c r="B105" s="6">
        <f>100/'Input'!$F$58*B67*'DRM'!$B$12*'Input'!$D$58</f>
        <v>0</v>
      </c>
      <c r="C105" s="6">
        <f>100/'Input'!$F$58*C67*'DRM'!$B$12*'Input'!$D$58</f>
        <v>0</v>
      </c>
      <c r="D105" s="6">
        <f>SUM($B105:$C105)</f>
        <v>0</v>
      </c>
      <c r="E105" s="10"/>
    </row>
    <row r="106" spans="1:5">
      <c r="A106" s="11" t="s">
        <v>175</v>
      </c>
      <c r="B106" s="6">
        <f>100/'Input'!$F$58*B68*'DRM'!$B$12*'Input'!$D$58</f>
        <v>0</v>
      </c>
      <c r="C106" s="6">
        <f>100/'Input'!$F$58*C68*'DRM'!$B$12*'Input'!$D$58</f>
        <v>0</v>
      </c>
      <c r="D106" s="6">
        <f>SUM($B106:$C106)</f>
        <v>0</v>
      </c>
      <c r="E106" s="10"/>
    </row>
    <row r="107" spans="1:5">
      <c r="A107" s="11" t="s">
        <v>211</v>
      </c>
      <c r="B107" s="6">
        <f>100/'Input'!$F$58*B69*'DRM'!$B$12*'Input'!$D$58</f>
        <v>0</v>
      </c>
      <c r="C107" s="6">
        <f>100/'Input'!$F$58*C69*'DRM'!$B$12*'Input'!$D$58</f>
        <v>0</v>
      </c>
      <c r="D107" s="6">
        <f>SUM($B107:$C107)</f>
        <v>0</v>
      </c>
      <c r="E107" s="10"/>
    </row>
    <row r="108" spans="1:5">
      <c r="A108" s="11" t="s">
        <v>176</v>
      </c>
      <c r="B108" s="6">
        <f>100/'Input'!$F$58*B70*'DRM'!$B$12*'Input'!$D$58</f>
        <v>0</v>
      </c>
      <c r="C108" s="6">
        <f>100/'Input'!$F$58*C70*'DRM'!$B$12*'Input'!$D$58</f>
        <v>0</v>
      </c>
      <c r="D108" s="6">
        <f>SUM($B108:$C108)</f>
        <v>0</v>
      </c>
      <c r="E108" s="10"/>
    </row>
    <row r="109" spans="1:5">
      <c r="A109" s="11" t="s">
        <v>177</v>
      </c>
      <c r="B109" s="6">
        <f>100/'Input'!$F$58*B71*'DRM'!$B$12*'Input'!$D$58</f>
        <v>0</v>
      </c>
      <c r="C109" s="6">
        <f>100/'Input'!$F$58*C71*'DRM'!$B$12*'Input'!$D$58</f>
        <v>0</v>
      </c>
      <c r="D109" s="6">
        <f>SUM($B109:$C109)</f>
        <v>0</v>
      </c>
      <c r="E109" s="10"/>
    </row>
    <row r="110" spans="1:5">
      <c r="A110" s="11" t="s">
        <v>191</v>
      </c>
      <c r="B110" s="6">
        <f>100/'Input'!$F$58*B72*'DRM'!$B$12*'Input'!$D$58</f>
        <v>0</v>
      </c>
      <c r="C110" s="6">
        <f>100/'Input'!$F$58*C72*'DRM'!$B$12*'Input'!$D$58</f>
        <v>0</v>
      </c>
      <c r="D110" s="6">
        <f>SUM($B110:$C110)</f>
        <v>0</v>
      </c>
      <c r="E110" s="10"/>
    </row>
    <row r="111" spans="1:5">
      <c r="A111" s="11" t="s">
        <v>178</v>
      </c>
      <c r="B111" s="6">
        <f>100/'Input'!$F$58*B73*'DRM'!$B$12*'Input'!$D$58</f>
        <v>0</v>
      </c>
      <c r="C111" s="6">
        <f>100/'Input'!$F$58*C73*'DRM'!$B$12*'Input'!$D$58</f>
        <v>0</v>
      </c>
      <c r="D111" s="6">
        <f>SUM($B111:$C111)</f>
        <v>0</v>
      </c>
      <c r="E111" s="10"/>
    </row>
    <row r="112" spans="1:5">
      <c r="A112" s="11" t="s">
        <v>179</v>
      </c>
      <c r="B112" s="6">
        <f>100/'Input'!$F$58*B74*'DRM'!$B$12*'Input'!$D$58</f>
        <v>0</v>
      </c>
      <c r="C112" s="6">
        <f>100/'Input'!$F$58*C74*'DRM'!$B$12*'Input'!$D$58</f>
        <v>0</v>
      </c>
      <c r="D112" s="6">
        <f>SUM($B112:$C112)</f>
        <v>0</v>
      </c>
      <c r="E112" s="10"/>
    </row>
    <row r="113" spans="1:5">
      <c r="A113" s="11" t="s">
        <v>192</v>
      </c>
      <c r="B113" s="6">
        <f>100/'Input'!$F$58*B75*'DRM'!$B$12*'Input'!$D$58</f>
        <v>0</v>
      </c>
      <c r="C113" s="6">
        <f>100/'Input'!$F$58*C75*'DRM'!$B$12*'Input'!$D$58</f>
        <v>0</v>
      </c>
      <c r="D113" s="6">
        <f>SUM($B113:$C113)</f>
        <v>0</v>
      </c>
      <c r="E113" s="10"/>
    </row>
    <row r="114" spans="1:5">
      <c r="A114" s="11" t="s">
        <v>212</v>
      </c>
      <c r="B114" s="6">
        <f>100/'Input'!$F$58*B76*'DRM'!$B$12*'Input'!$D$58</f>
        <v>0</v>
      </c>
      <c r="C114" s="6">
        <f>100/'Input'!$F$58*C76*'DRM'!$B$12*'Input'!$D$58</f>
        <v>0</v>
      </c>
      <c r="D114" s="6">
        <f>SUM($B114:$C114)</f>
        <v>0</v>
      </c>
      <c r="E114" s="10"/>
    </row>
    <row r="115" spans="1:5">
      <c r="A115" s="11" t="s">
        <v>213</v>
      </c>
      <c r="B115" s="6">
        <f>100/'Input'!$F$58*B77*'DRM'!$B$12*'Input'!$D$58</f>
        <v>0</v>
      </c>
      <c r="C115" s="6">
        <f>100/'Input'!$F$58*C77*'DRM'!$B$12*'Input'!$D$58</f>
        <v>0</v>
      </c>
      <c r="D115" s="6">
        <f>SUM($B115:$C115)</f>
        <v>0</v>
      </c>
      <c r="E115" s="10"/>
    </row>
    <row r="116" spans="1:5">
      <c r="A116" s="11" t="s">
        <v>214</v>
      </c>
      <c r="B116" s="6">
        <f>100/'Input'!$F$58*B78*'DRM'!$B$12*'Input'!$D$58</f>
        <v>0</v>
      </c>
      <c r="C116" s="6">
        <f>100/'Input'!$F$58*C78*'DRM'!$B$12*'Input'!$D$58</f>
        <v>0</v>
      </c>
      <c r="D116" s="6">
        <f>SUM($B116:$C116)</f>
        <v>0</v>
      </c>
      <c r="E116" s="10"/>
    </row>
    <row r="117" spans="1:5">
      <c r="A117" s="11" t="s">
        <v>215</v>
      </c>
      <c r="B117" s="6">
        <f>100/'Input'!$F$58*B79*'DRM'!$B$12*'Input'!$D$58</f>
        <v>0</v>
      </c>
      <c r="C117" s="6">
        <f>100/'Input'!$F$58*C79*'DRM'!$B$12*'Input'!$D$58</f>
        <v>0</v>
      </c>
      <c r="D117" s="6">
        <f>SUM($B117:$C117)</f>
        <v>0</v>
      </c>
      <c r="E117" s="10"/>
    </row>
    <row r="118" spans="1:5">
      <c r="A118" s="11" t="s">
        <v>216</v>
      </c>
      <c r="B118" s="6">
        <f>100/'Input'!$F$58*B80*'DRM'!$B$12*'Input'!$D$58</f>
        <v>0</v>
      </c>
      <c r="C118" s="6">
        <f>100/'Input'!$F$58*C80*'DRM'!$B$12*'Input'!$D$58</f>
        <v>0</v>
      </c>
      <c r="D118" s="6">
        <f>SUM($B118:$C118)</f>
        <v>0</v>
      </c>
      <c r="E118" s="10"/>
    </row>
    <row r="119" spans="1:5">
      <c r="A119" s="11" t="s">
        <v>180</v>
      </c>
      <c r="B119" s="6">
        <f>100/'Input'!$F$58*B81*'DRM'!$B$12*'Input'!$D$58</f>
        <v>0</v>
      </c>
      <c r="C119" s="6">
        <f>100/'Input'!$F$58*C81*'DRM'!$B$12*'Input'!$D$58</f>
        <v>0</v>
      </c>
      <c r="D119" s="6">
        <f>SUM($B119:$C119)</f>
        <v>0</v>
      </c>
      <c r="E119" s="10"/>
    </row>
    <row r="120" spans="1:5">
      <c r="A120" s="11" t="s">
        <v>181</v>
      </c>
      <c r="B120" s="6">
        <f>100/'Input'!$F$58*B82*'DRM'!$B$12*'Input'!$D$58</f>
        <v>0</v>
      </c>
      <c r="C120" s="6">
        <f>100/'Input'!$F$58*C82*'DRM'!$B$12*'Input'!$D$58</f>
        <v>0</v>
      </c>
      <c r="D120" s="6">
        <f>SUM($B120:$C120)</f>
        <v>0</v>
      </c>
      <c r="E120" s="10"/>
    </row>
    <row r="121" spans="1:5">
      <c r="A121" s="11" t="s">
        <v>182</v>
      </c>
      <c r="B121" s="6">
        <f>100/'Input'!$F$58*B83*'DRM'!$B$12*'Input'!$D$58</f>
        <v>0</v>
      </c>
      <c r="C121" s="6">
        <f>100/'Input'!$F$58*C83*'DRM'!$B$12*'Input'!$D$58</f>
        <v>0</v>
      </c>
      <c r="D121" s="6">
        <f>SUM($B121:$C121)</f>
        <v>0</v>
      </c>
      <c r="E121" s="10"/>
    </row>
    <row r="122" spans="1:5">
      <c r="A122" s="11" t="s">
        <v>183</v>
      </c>
      <c r="B122" s="6">
        <f>100/'Input'!$F$58*B84*'DRM'!$B$12*'Input'!$D$58</f>
        <v>0</v>
      </c>
      <c r="C122" s="6">
        <f>100/'Input'!$F$58*C84*'DRM'!$B$12*'Input'!$D$58</f>
        <v>0</v>
      </c>
      <c r="D122" s="6">
        <f>SUM($B122:$C122)</f>
        <v>0</v>
      </c>
      <c r="E122" s="10"/>
    </row>
    <row r="123" spans="1:5">
      <c r="A123" s="11" t="s">
        <v>184</v>
      </c>
      <c r="B123" s="6">
        <f>100/'Input'!$F$58*B85*'DRM'!$B$12*'Input'!$D$58</f>
        <v>0</v>
      </c>
      <c r="C123" s="6">
        <f>100/'Input'!$F$58*C85*'DRM'!$B$12*'Input'!$D$58</f>
        <v>0</v>
      </c>
      <c r="D123" s="6">
        <f>SUM($B123:$C123)</f>
        <v>0</v>
      </c>
      <c r="E123" s="10"/>
    </row>
    <row r="124" spans="1:5">
      <c r="A124" s="11" t="s">
        <v>185</v>
      </c>
      <c r="B124" s="6">
        <f>100/'Input'!$F$58*B86*'DRM'!$B$12*'Input'!$D$58</f>
        <v>0</v>
      </c>
      <c r="C124" s="6">
        <f>100/'Input'!$F$58*C86*'DRM'!$B$12*'Input'!$D$58</f>
        <v>0</v>
      </c>
      <c r="D124" s="6">
        <f>SUM($B124:$C124)</f>
        <v>0</v>
      </c>
      <c r="E124" s="10"/>
    </row>
    <row r="125" spans="1:5">
      <c r="A125" s="11" t="s">
        <v>193</v>
      </c>
      <c r="B125" s="6">
        <f>100/'Input'!$F$58*B87*'DRM'!$B$12*'Input'!$D$58</f>
        <v>0</v>
      </c>
      <c r="C125" s="6">
        <f>100/'Input'!$F$58*C87*'DRM'!$B$12*'Input'!$D$58</f>
        <v>0</v>
      </c>
      <c r="D125" s="6">
        <f>SUM($B125:$C125)</f>
        <v>0</v>
      </c>
      <c r="E125" s="10"/>
    </row>
    <row r="126" spans="1:5">
      <c r="A126" s="11" t="s">
        <v>194</v>
      </c>
      <c r="B126" s="6">
        <f>100/'Input'!$F$58*B88*'DRM'!$B$12*'Input'!$D$58</f>
        <v>0</v>
      </c>
      <c r="C126" s="6">
        <f>100/'Input'!$F$58*C88*'DRM'!$B$12*'Input'!$D$58</f>
        <v>0</v>
      </c>
      <c r="D126" s="6">
        <f>SUM($B126:$C126)</f>
        <v>0</v>
      </c>
      <c r="E126" s="10"/>
    </row>
  </sheetData>
  <sheetProtection sheet="1" objects="1" scenarios="1"/>
  <hyperlinks>
    <hyperlink ref="A6" location="'Input'!B111" display="x1 = 1025. Matrix of applicability of LV service models to tariffs with fixed charges"/>
    <hyperlink ref="A7" location="'Input'!B101" display="x2 = 1022. LV service model asset cost (£)"/>
    <hyperlink ref="A28" location="'Input'!B131" display="x1 = 1026. Matrix of applicability of LV service models to unmetered tariffs"/>
    <hyperlink ref="A29" location="'Input'!B101" display="x2 = 1022. LV service model asset cost (£)"/>
    <hyperlink ref="A37" location="'Input'!D57" display="x1 = 1010. Annuity proportion for customer-contributed assets (in Financial and general assumptions)"/>
    <hyperlink ref="A38" location="'SM'!B32" display="x2 = 2202. Asset £/(MWh/year) from LV service models"/>
    <hyperlink ref="A39" location="'DRM'!B11" display="x3 = 2101. Annuity rate"/>
    <hyperlink ref="A47" location="'Input'!B136" display="x1 = 1028. Matrix of applicability of HV service models to tariffs with fixed charges"/>
    <hyperlink ref="A48" location="'Input'!B106" display="x2 = 1023. HV service model asset cost (£)"/>
    <hyperlink ref="A59" location="'SM'!B10" display="x1 = 2201. Asset £/customer from LV service models"/>
    <hyperlink ref="A60" location="'SM'!B51" display="x2 = 2204. Asset £/customer from HV service models"/>
    <hyperlink ref="A92" location="'Input'!F57" display="x1 = 1010. Days in the charging year (in Financial and general assumptions)"/>
    <hyperlink ref="A93" location="'SM'!B63" display="x2 = 2205. Service model assets by tariff (£)"/>
    <hyperlink ref="A94" location="'DRM'!B11" display="x3 = 2101. Annuity rate"/>
    <hyperlink ref="A95" location="'Input'!D57" display="x4 = 1010. Annuity proportion for customer-contributed assets (in Financial and general assumptions)"/>
    <hyperlink ref="A96" location="'SM'!B101" display="x5 = Service model p/MPAN/day charge (in Replacement annuities for service models)"/>
  </hyperlink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>
      <c r="A1" s="1">
        <f>"Load characteristics"&amp;" for "&amp;'Input'!B7&amp;" in "&amp;'Input'!C7&amp;" ("&amp;'Input'!D7&amp;")"</f>
        <v>0</v>
      </c>
    </row>
    <row r="2" spans="1:1">
      <c r="A2" s="2" t="s">
        <v>488</v>
      </c>
    </row>
    <row r="3" spans="1:1">
      <c r="A3" s="2"/>
    </row>
    <row r="4" spans="1:1">
      <c r="A4" s="2" t="s">
        <v>489</v>
      </c>
    </row>
    <row r="5" spans="1:1">
      <c r="A5" s="2" t="s">
        <v>490</v>
      </c>
    </row>
    <row r="6" spans="1:1">
      <c r="A6" s="2"/>
    </row>
    <row r="7" spans="1:1">
      <c r="A7" s="2" t="s">
        <v>491</v>
      </c>
    </row>
    <row r="8" spans="1:1">
      <c r="A8" s="2" t="s">
        <v>492</v>
      </c>
    </row>
    <row r="9" spans="1:1">
      <c r="A9" s="2" t="s">
        <v>493</v>
      </c>
    </row>
    <row r="10" spans="1:1">
      <c r="A10" s="2" t="s">
        <v>494</v>
      </c>
    </row>
    <row r="12" spans="1:1">
      <c r="A12" s="1" t="s">
        <v>495</v>
      </c>
    </row>
    <row r="13" spans="1:1">
      <c r="A13" s="2" t="s">
        <v>349</v>
      </c>
    </row>
    <row r="14" spans="1:1">
      <c r="A14" s="12" t="s">
        <v>496</v>
      </c>
    </row>
    <row r="15" spans="1:1">
      <c r="A15" s="12" t="s">
        <v>497</v>
      </c>
    </row>
    <row r="16" spans="1:1">
      <c r="A16" s="2" t="s">
        <v>429</v>
      </c>
    </row>
    <row r="18" spans="1:3">
      <c r="B18" s="3" t="s">
        <v>498</v>
      </c>
    </row>
    <row r="19" spans="1:3">
      <c r="A19" s="11" t="s">
        <v>172</v>
      </c>
      <c r="B19" s="6">
        <f>'Input'!B158/'Input'!C158</f>
        <v>0</v>
      </c>
      <c r="C19" s="10"/>
    </row>
    <row r="20" spans="1:3">
      <c r="A20" s="11" t="s">
        <v>173</v>
      </c>
      <c r="B20" s="6">
        <f>'Input'!B159/'Input'!C159</f>
        <v>0</v>
      </c>
      <c r="C20" s="10"/>
    </row>
    <row r="21" spans="1:3">
      <c r="A21" s="11" t="s">
        <v>210</v>
      </c>
      <c r="B21" s="6">
        <f>'Input'!B160/'Input'!C160</f>
        <v>0</v>
      </c>
      <c r="C21" s="10"/>
    </row>
    <row r="22" spans="1:3">
      <c r="A22" s="11" t="s">
        <v>174</v>
      </c>
      <c r="B22" s="6">
        <f>'Input'!B161/'Input'!C161</f>
        <v>0</v>
      </c>
      <c r="C22" s="10"/>
    </row>
    <row r="23" spans="1:3">
      <c r="A23" s="11" t="s">
        <v>175</v>
      </c>
      <c r="B23" s="6">
        <f>'Input'!B162/'Input'!C162</f>
        <v>0</v>
      </c>
      <c r="C23" s="10"/>
    </row>
    <row r="24" spans="1:3">
      <c r="A24" s="11" t="s">
        <v>211</v>
      </c>
      <c r="B24" s="6">
        <f>'Input'!B163/'Input'!C163</f>
        <v>0</v>
      </c>
      <c r="C24" s="10"/>
    </row>
    <row r="25" spans="1:3">
      <c r="A25" s="11" t="s">
        <v>176</v>
      </c>
      <c r="B25" s="6">
        <f>'Input'!B164/'Input'!C164</f>
        <v>0</v>
      </c>
      <c r="C25" s="10"/>
    </row>
    <row r="26" spans="1:3">
      <c r="A26" s="11" t="s">
        <v>177</v>
      </c>
      <c r="B26" s="6">
        <f>'Input'!B165/'Input'!C165</f>
        <v>0</v>
      </c>
      <c r="C26" s="10"/>
    </row>
    <row r="27" spans="1:3">
      <c r="A27" s="11" t="s">
        <v>191</v>
      </c>
      <c r="B27" s="6">
        <f>'Input'!B166/'Input'!C166</f>
        <v>0</v>
      </c>
      <c r="C27" s="10"/>
    </row>
    <row r="28" spans="1:3">
      <c r="A28" s="11" t="s">
        <v>178</v>
      </c>
      <c r="B28" s="6">
        <f>'Input'!B167/'Input'!C167</f>
        <v>0</v>
      </c>
      <c r="C28" s="10"/>
    </row>
    <row r="29" spans="1:3">
      <c r="A29" s="11" t="s">
        <v>179</v>
      </c>
      <c r="B29" s="6">
        <f>'Input'!B168/'Input'!C168</f>
        <v>0</v>
      </c>
      <c r="C29" s="10"/>
    </row>
    <row r="30" spans="1:3">
      <c r="A30" s="11" t="s">
        <v>192</v>
      </c>
      <c r="B30" s="6">
        <f>'Input'!B169/'Input'!C169</f>
        <v>0</v>
      </c>
      <c r="C30" s="10"/>
    </row>
    <row r="31" spans="1:3">
      <c r="A31" s="11" t="s">
        <v>212</v>
      </c>
      <c r="B31" s="6">
        <f>'Input'!B170/'Input'!C170</f>
        <v>0</v>
      </c>
      <c r="C31" s="10"/>
    </row>
    <row r="32" spans="1:3">
      <c r="A32" s="11" t="s">
        <v>213</v>
      </c>
      <c r="B32" s="6">
        <f>'Input'!B171/'Input'!C171</f>
        <v>0</v>
      </c>
      <c r="C32" s="10"/>
    </row>
    <row r="33" spans="1:3">
      <c r="A33" s="11" t="s">
        <v>214</v>
      </c>
      <c r="B33" s="6">
        <f>'Input'!B172/'Input'!C172</f>
        <v>0</v>
      </c>
      <c r="C33" s="10"/>
    </row>
    <row r="34" spans="1:3">
      <c r="A34" s="11" t="s">
        <v>215</v>
      </c>
      <c r="B34" s="6">
        <f>'Input'!B173/'Input'!C173</f>
        <v>0</v>
      </c>
      <c r="C34" s="10"/>
    </row>
    <row r="35" spans="1:3">
      <c r="A35" s="11" t="s">
        <v>216</v>
      </c>
      <c r="B35" s="6">
        <f>'Input'!B174/'Input'!C174</f>
        <v>0</v>
      </c>
      <c r="C35" s="10"/>
    </row>
    <row r="37" spans="1:3">
      <c r="A37" s="1" t="s">
        <v>499</v>
      </c>
    </row>
    <row r="38" spans="1:3">
      <c r="A38" s="2" t="s">
        <v>349</v>
      </c>
    </row>
    <row r="39" spans="1:3">
      <c r="A39" s="12" t="s">
        <v>500</v>
      </c>
    </row>
    <row r="40" spans="1:3">
      <c r="A40" s="2" t="s">
        <v>501</v>
      </c>
    </row>
    <row r="41" spans="1:3">
      <c r="A41" s="2" t="s">
        <v>367</v>
      </c>
    </row>
    <row r="43" spans="1:3">
      <c r="B43" s="3" t="s">
        <v>502</v>
      </c>
    </row>
    <row r="44" spans="1:3">
      <c r="A44" s="11" t="s">
        <v>172</v>
      </c>
      <c r="B44" s="7">
        <f>B$19</f>
        <v>0</v>
      </c>
      <c r="C44" s="10"/>
    </row>
    <row r="45" spans="1:3">
      <c r="A45" s="11" t="s">
        <v>173</v>
      </c>
      <c r="B45" s="7">
        <f>B$20</f>
        <v>0</v>
      </c>
      <c r="C45" s="10"/>
    </row>
    <row r="46" spans="1:3">
      <c r="A46" s="11" t="s">
        <v>210</v>
      </c>
      <c r="B46" s="7">
        <f>B$21</f>
        <v>0</v>
      </c>
      <c r="C46" s="10"/>
    </row>
    <row r="47" spans="1:3">
      <c r="A47" s="11" t="s">
        <v>174</v>
      </c>
      <c r="B47" s="7">
        <f>B$22</f>
        <v>0</v>
      </c>
      <c r="C47" s="10"/>
    </row>
    <row r="48" spans="1:3">
      <c r="A48" s="11" t="s">
        <v>175</v>
      </c>
      <c r="B48" s="7">
        <f>B$23</f>
        <v>0</v>
      </c>
      <c r="C48" s="10"/>
    </row>
    <row r="49" spans="1:3">
      <c r="A49" s="11" t="s">
        <v>211</v>
      </c>
      <c r="B49" s="7">
        <f>B$24</f>
        <v>0</v>
      </c>
      <c r="C49" s="10"/>
    </row>
    <row r="50" spans="1:3">
      <c r="A50" s="11" t="s">
        <v>176</v>
      </c>
      <c r="B50" s="7">
        <f>B$25</f>
        <v>0</v>
      </c>
      <c r="C50" s="10"/>
    </row>
    <row r="51" spans="1:3">
      <c r="A51" s="11" t="s">
        <v>177</v>
      </c>
      <c r="B51" s="7">
        <f>B$26</f>
        <v>0</v>
      </c>
      <c r="C51" s="10"/>
    </row>
    <row r="52" spans="1:3">
      <c r="A52" s="11" t="s">
        <v>191</v>
      </c>
      <c r="B52" s="7">
        <f>B$27</f>
        <v>0</v>
      </c>
      <c r="C52" s="10"/>
    </row>
    <row r="53" spans="1:3">
      <c r="A53" s="11" t="s">
        <v>178</v>
      </c>
      <c r="B53" s="7">
        <f>B$28</f>
        <v>0</v>
      </c>
      <c r="C53" s="10"/>
    </row>
    <row r="54" spans="1:3">
      <c r="A54" s="11" t="s">
        <v>179</v>
      </c>
      <c r="B54" s="7">
        <f>B$29</f>
        <v>0</v>
      </c>
      <c r="C54" s="10"/>
    </row>
    <row r="55" spans="1:3">
      <c r="A55" s="11" t="s">
        <v>192</v>
      </c>
      <c r="B55" s="7">
        <f>B$30</f>
        <v>0</v>
      </c>
      <c r="C55" s="10"/>
    </row>
    <row r="56" spans="1:3">
      <c r="A56" s="11" t="s">
        <v>212</v>
      </c>
      <c r="B56" s="7">
        <f>B$31</f>
        <v>0</v>
      </c>
      <c r="C56" s="10"/>
    </row>
    <row r="57" spans="1:3">
      <c r="A57" s="11" t="s">
        <v>213</v>
      </c>
      <c r="B57" s="7">
        <f>B$32</f>
        <v>0</v>
      </c>
      <c r="C57" s="10"/>
    </row>
    <row r="58" spans="1:3">
      <c r="A58" s="11" t="s">
        <v>214</v>
      </c>
      <c r="B58" s="7">
        <f>B$33</f>
        <v>0</v>
      </c>
      <c r="C58" s="10"/>
    </row>
    <row r="59" spans="1:3">
      <c r="A59" s="11" t="s">
        <v>215</v>
      </c>
      <c r="B59" s="7">
        <f>B$34</f>
        <v>0</v>
      </c>
      <c r="C59" s="10"/>
    </row>
    <row r="60" spans="1:3">
      <c r="A60" s="11" t="s">
        <v>216</v>
      </c>
      <c r="B60" s="7">
        <f>B$35</f>
        <v>0</v>
      </c>
      <c r="C60" s="10"/>
    </row>
    <row r="61" spans="1:3">
      <c r="A61" s="11" t="s">
        <v>180</v>
      </c>
      <c r="B61" s="5">
        <v>-1</v>
      </c>
      <c r="C61" s="10"/>
    </row>
    <row r="62" spans="1:3">
      <c r="A62" s="11" t="s">
        <v>181</v>
      </c>
      <c r="B62" s="5">
        <v>-1</v>
      </c>
      <c r="C62" s="10"/>
    </row>
    <row r="63" spans="1:3">
      <c r="A63" s="11" t="s">
        <v>182</v>
      </c>
      <c r="B63" s="5">
        <v>-1</v>
      </c>
      <c r="C63" s="10"/>
    </row>
    <row r="64" spans="1:3">
      <c r="A64" s="11" t="s">
        <v>183</v>
      </c>
      <c r="B64" s="5">
        <v>-1</v>
      </c>
      <c r="C64" s="10"/>
    </row>
    <row r="65" spans="1:7">
      <c r="A65" s="11" t="s">
        <v>184</v>
      </c>
      <c r="B65" s="5">
        <v>-1</v>
      </c>
      <c r="C65" s="10"/>
    </row>
    <row r="66" spans="1:7">
      <c r="A66" s="11" t="s">
        <v>185</v>
      </c>
      <c r="B66" s="5">
        <v>-1</v>
      </c>
      <c r="C66" s="10"/>
    </row>
    <row r="67" spans="1:7">
      <c r="A67" s="11" t="s">
        <v>193</v>
      </c>
      <c r="B67" s="5">
        <v>-1</v>
      </c>
      <c r="C67" s="10"/>
    </row>
    <row r="68" spans="1:7">
      <c r="A68" s="11" t="s">
        <v>194</v>
      </c>
      <c r="B68" s="5">
        <v>-1</v>
      </c>
      <c r="C68" s="10"/>
    </row>
    <row r="70" spans="1:7">
      <c r="A70" s="1" t="s">
        <v>503</v>
      </c>
    </row>
    <row r="72" spans="1:7">
      <c r="B72" s="3" t="s">
        <v>200</v>
      </c>
      <c r="C72" s="3" t="s">
        <v>201</v>
      </c>
      <c r="D72" s="3" t="s">
        <v>202</v>
      </c>
      <c r="E72" s="3" t="s">
        <v>203</v>
      </c>
      <c r="F72" s="3" t="s">
        <v>204</v>
      </c>
    </row>
    <row r="73" spans="1:7">
      <c r="A73" s="22" t="s">
        <v>227</v>
      </c>
      <c r="G73" s="10"/>
    </row>
    <row r="74" spans="1:7">
      <c r="A74" s="11" t="s">
        <v>172</v>
      </c>
      <c r="B74" s="28">
        <v>1</v>
      </c>
      <c r="C74" s="28">
        <v>0</v>
      </c>
      <c r="D74" s="28">
        <v>0</v>
      </c>
      <c r="E74" s="28">
        <v>0</v>
      </c>
      <c r="F74" s="28">
        <v>0</v>
      </c>
      <c r="G74" s="10"/>
    </row>
    <row r="75" spans="1:7">
      <c r="A75" s="11" t="s">
        <v>228</v>
      </c>
      <c r="B75" s="28">
        <v>0</v>
      </c>
      <c r="C75" s="28">
        <v>1</v>
      </c>
      <c r="D75" s="28">
        <v>0</v>
      </c>
      <c r="E75" s="28">
        <v>0</v>
      </c>
      <c r="F75" s="28">
        <v>0</v>
      </c>
      <c r="G75" s="10"/>
    </row>
    <row r="76" spans="1:7">
      <c r="A76" s="11" t="s">
        <v>229</v>
      </c>
      <c r="B76" s="28">
        <v>0</v>
      </c>
      <c r="C76" s="28">
        <v>0</v>
      </c>
      <c r="D76" s="28">
        <v>1</v>
      </c>
      <c r="E76" s="28">
        <v>0</v>
      </c>
      <c r="F76" s="28">
        <v>0</v>
      </c>
      <c r="G76" s="10"/>
    </row>
    <row r="77" spans="1:7">
      <c r="A77" s="22" t="s">
        <v>230</v>
      </c>
      <c r="G77" s="10"/>
    </row>
    <row r="78" spans="1:7">
      <c r="A78" s="11" t="s">
        <v>173</v>
      </c>
      <c r="B78" s="28">
        <v>1</v>
      </c>
      <c r="C78" s="28">
        <v>0</v>
      </c>
      <c r="D78" s="28">
        <v>0</v>
      </c>
      <c r="E78" s="28">
        <v>0</v>
      </c>
      <c r="F78" s="28">
        <v>0</v>
      </c>
      <c r="G78" s="10"/>
    </row>
    <row r="79" spans="1:7">
      <c r="A79" s="11" t="s">
        <v>231</v>
      </c>
      <c r="B79" s="28">
        <v>0</v>
      </c>
      <c r="C79" s="28">
        <v>1</v>
      </c>
      <c r="D79" s="28">
        <v>0</v>
      </c>
      <c r="E79" s="28">
        <v>0</v>
      </c>
      <c r="F79" s="28">
        <v>0</v>
      </c>
      <c r="G79" s="10"/>
    </row>
    <row r="80" spans="1:7">
      <c r="A80" s="11" t="s">
        <v>232</v>
      </c>
      <c r="B80" s="28">
        <v>0</v>
      </c>
      <c r="C80" s="28">
        <v>0</v>
      </c>
      <c r="D80" s="28">
        <v>1</v>
      </c>
      <c r="E80" s="28">
        <v>0</v>
      </c>
      <c r="F80" s="28">
        <v>0</v>
      </c>
      <c r="G80" s="10"/>
    </row>
    <row r="81" spans="1:7">
      <c r="A81" s="22" t="s">
        <v>233</v>
      </c>
      <c r="G81" s="10"/>
    </row>
    <row r="82" spans="1:7">
      <c r="A82" s="11" t="s">
        <v>210</v>
      </c>
      <c r="B82" s="28">
        <v>1</v>
      </c>
      <c r="C82" s="28">
        <v>0</v>
      </c>
      <c r="D82" s="28">
        <v>0</v>
      </c>
      <c r="E82" s="28">
        <v>0</v>
      </c>
      <c r="F82" s="28">
        <v>0</v>
      </c>
      <c r="G82" s="10"/>
    </row>
    <row r="83" spans="1:7">
      <c r="A83" s="11" t="s">
        <v>234</v>
      </c>
      <c r="B83" s="28">
        <v>0</v>
      </c>
      <c r="C83" s="28">
        <v>1</v>
      </c>
      <c r="D83" s="28">
        <v>0</v>
      </c>
      <c r="E83" s="28">
        <v>0</v>
      </c>
      <c r="F83" s="28">
        <v>0</v>
      </c>
      <c r="G83" s="10"/>
    </row>
    <row r="84" spans="1:7">
      <c r="A84" s="11" t="s">
        <v>235</v>
      </c>
      <c r="B84" s="28">
        <v>0</v>
      </c>
      <c r="C84" s="28">
        <v>0</v>
      </c>
      <c r="D84" s="28">
        <v>1</v>
      </c>
      <c r="E84" s="28">
        <v>0</v>
      </c>
      <c r="F84" s="28">
        <v>0</v>
      </c>
      <c r="G84" s="10"/>
    </row>
    <row r="85" spans="1:7">
      <c r="A85" s="22" t="s">
        <v>236</v>
      </c>
      <c r="G85" s="10"/>
    </row>
    <row r="86" spans="1:7">
      <c r="A86" s="11" t="s">
        <v>174</v>
      </c>
      <c r="B86" s="28">
        <v>1</v>
      </c>
      <c r="C86" s="28">
        <v>0</v>
      </c>
      <c r="D86" s="28">
        <v>0</v>
      </c>
      <c r="E86" s="28">
        <v>0</v>
      </c>
      <c r="F86" s="28">
        <v>0</v>
      </c>
      <c r="G86" s="10"/>
    </row>
    <row r="87" spans="1:7">
      <c r="A87" s="11" t="s">
        <v>237</v>
      </c>
      <c r="B87" s="28">
        <v>0</v>
      </c>
      <c r="C87" s="28">
        <v>1</v>
      </c>
      <c r="D87" s="28">
        <v>0</v>
      </c>
      <c r="E87" s="28">
        <v>0</v>
      </c>
      <c r="F87" s="28">
        <v>0</v>
      </c>
      <c r="G87" s="10"/>
    </row>
    <row r="88" spans="1:7">
      <c r="A88" s="11" t="s">
        <v>238</v>
      </c>
      <c r="B88" s="28">
        <v>0</v>
      </c>
      <c r="C88" s="28">
        <v>0</v>
      </c>
      <c r="D88" s="28">
        <v>1</v>
      </c>
      <c r="E88" s="28">
        <v>0</v>
      </c>
      <c r="F88" s="28">
        <v>0</v>
      </c>
      <c r="G88" s="10"/>
    </row>
    <row r="89" spans="1:7">
      <c r="A89" s="22" t="s">
        <v>239</v>
      </c>
      <c r="G89" s="10"/>
    </row>
    <row r="90" spans="1:7">
      <c r="A90" s="11" t="s">
        <v>175</v>
      </c>
      <c r="B90" s="28">
        <v>1</v>
      </c>
      <c r="C90" s="28">
        <v>0</v>
      </c>
      <c r="D90" s="28">
        <v>0</v>
      </c>
      <c r="E90" s="28">
        <v>0</v>
      </c>
      <c r="F90" s="28">
        <v>0</v>
      </c>
      <c r="G90" s="10"/>
    </row>
    <row r="91" spans="1:7">
      <c r="A91" s="11" t="s">
        <v>240</v>
      </c>
      <c r="B91" s="28">
        <v>0</v>
      </c>
      <c r="C91" s="28">
        <v>1</v>
      </c>
      <c r="D91" s="28">
        <v>0</v>
      </c>
      <c r="E91" s="28">
        <v>0</v>
      </c>
      <c r="F91" s="28">
        <v>0</v>
      </c>
      <c r="G91" s="10"/>
    </row>
    <row r="92" spans="1:7">
      <c r="A92" s="11" t="s">
        <v>241</v>
      </c>
      <c r="B92" s="28">
        <v>0</v>
      </c>
      <c r="C92" s="28">
        <v>0</v>
      </c>
      <c r="D92" s="28">
        <v>1</v>
      </c>
      <c r="E92" s="28">
        <v>0</v>
      </c>
      <c r="F92" s="28">
        <v>0</v>
      </c>
      <c r="G92" s="10"/>
    </row>
    <row r="93" spans="1:7">
      <c r="A93" s="22" t="s">
        <v>242</v>
      </c>
      <c r="G93" s="10"/>
    </row>
    <row r="94" spans="1:7">
      <c r="A94" s="11" t="s">
        <v>211</v>
      </c>
      <c r="B94" s="28">
        <v>1</v>
      </c>
      <c r="C94" s="28">
        <v>0</v>
      </c>
      <c r="D94" s="28">
        <v>0</v>
      </c>
      <c r="E94" s="28">
        <v>0</v>
      </c>
      <c r="F94" s="28">
        <v>0</v>
      </c>
      <c r="G94" s="10"/>
    </row>
    <row r="95" spans="1:7">
      <c r="A95" s="11" t="s">
        <v>243</v>
      </c>
      <c r="B95" s="28">
        <v>0</v>
      </c>
      <c r="C95" s="28">
        <v>1</v>
      </c>
      <c r="D95" s="28">
        <v>0</v>
      </c>
      <c r="E95" s="28">
        <v>0</v>
      </c>
      <c r="F95" s="28">
        <v>0</v>
      </c>
      <c r="G95" s="10"/>
    </row>
    <row r="96" spans="1:7">
      <c r="A96" s="11" t="s">
        <v>244</v>
      </c>
      <c r="B96" s="28">
        <v>0</v>
      </c>
      <c r="C96" s="28">
        <v>0</v>
      </c>
      <c r="D96" s="28">
        <v>1</v>
      </c>
      <c r="E96" s="28">
        <v>0</v>
      </c>
      <c r="F96" s="28">
        <v>0</v>
      </c>
      <c r="G96" s="10"/>
    </row>
    <row r="97" spans="1:7">
      <c r="A97" s="22" t="s">
        <v>245</v>
      </c>
      <c r="G97" s="10"/>
    </row>
    <row r="98" spans="1:7">
      <c r="A98" s="11" t="s">
        <v>176</v>
      </c>
      <c r="B98" s="28">
        <v>1</v>
      </c>
      <c r="C98" s="28">
        <v>0</v>
      </c>
      <c r="D98" s="28">
        <v>0</v>
      </c>
      <c r="E98" s="28">
        <v>0</v>
      </c>
      <c r="F98" s="28">
        <v>0</v>
      </c>
      <c r="G98" s="10"/>
    </row>
    <row r="99" spans="1:7">
      <c r="A99" s="11" t="s">
        <v>246</v>
      </c>
      <c r="B99" s="28">
        <v>0</v>
      </c>
      <c r="C99" s="28">
        <v>1</v>
      </c>
      <c r="D99" s="28">
        <v>0</v>
      </c>
      <c r="E99" s="28">
        <v>0</v>
      </c>
      <c r="F99" s="28">
        <v>0</v>
      </c>
      <c r="G99" s="10"/>
    </row>
    <row r="100" spans="1:7">
      <c r="A100" s="11" t="s">
        <v>247</v>
      </c>
      <c r="B100" s="28">
        <v>0</v>
      </c>
      <c r="C100" s="28">
        <v>0</v>
      </c>
      <c r="D100" s="28">
        <v>1</v>
      </c>
      <c r="E100" s="28">
        <v>0</v>
      </c>
      <c r="F100" s="28">
        <v>0</v>
      </c>
      <c r="G100" s="10"/>
    </row>
    <row r="101" spans="1:7">
      <c r="A101" s="22" t="s">
        <v>248</v>
      </c>
      <c r="G101" s="10"/>
    </row>
    <row r="102" spans="1:7">
      <c r="A102" s="11" t="s">
        <v>177</v>
      </c>
      <c r="B102" s="28">
        <v>1</v>
      </c>
      <c r="C102" s="28">
        <v>0</v>
      </c>
      <c r="D102" s="28">
        <v>0</v>
      </c>
      <c r="E102" s="28">
        <v>0</v>
      </c>
      <c r="F102" s="28">
        <v>0</v>
      </c>
      <c r="G102" s="10"/>
    </row>
    <row r="103" spans="1:7">
      <c r="A103" s="22" t="s">
        <v>249</v>
      </c>
      <c r="G103" s="10"/>
    </row>
    <row r="104" spans="1:7">
      <c r="A104" s="11" t="s">
        <v>191</v>
      </c>
      <c r="B104" s="28">
        <v>1</v>
      </c>
      <c r="C104" s="28">
        <v>0</v>
      </c>
      <c r="D104" s="28">
        <v>0</v>
      </c>
      <c r="E104" s="28">
        <v>0</v>
      </c>
      <c r="F104" s="28">
        <v>0</v>
      </c>
      <c r="G104" s="10"/>
    </row>
    <row r="105" spans="1:7">
      <c r="A105" s="22" t="s">
        <v>250</v>
      </c>
      <c r="G105" s="10"/>
    </row>
    <row r="106" spans="1:7">
      <c r="A106" s="11" t="s">
        <v>178</v>
      </c>
      <c r="B106" s="28">
        <v>1</v>
      </c>
      <c r="C106" s="28">
        <v>0</v>
      </c>
      <c r="D106" s="28">
        <v>0</v>
      </c>
      <c r="E106" s="28">
        <v>0</v>
      </c>
      <c r="F106" s="28">
        <v>0</v>
      </c>
      <c r="G106" s="10"/>
    </row>
    <row r="107" spans="1:7">
      <c r="A107" s="11" t="s">
        <v>251</v>
      </c>
      <c r="B107" s="28">
        <v>0</v>
      </c>
      <c r="C107" s="28">
        <v>1</v>
      </c>
      <c r="D107" s="28">
        <v>0</v>
      </c>
      <c r="E107" s="28">
        <v>0</v>
      </c>
      <c r="F107" s="28">
        <v>0</v>
      </c>
      <c r="G107" s="10"/>
    </row>
    <row r="108" spans="1:7">
      <c r="A108" s="11" t="s">
        <v>252</v>
      </c>
      <c r="B108" s="28">
        <v>0</v>
      </c>
      <c r="C108" s="28">
        <v>0</v>
      </c>
      <c r="D108" s="28">
        <v>1</v>
      </c>
      <c r="E108" s="28">
        <v>0</v>
      </c>
      <c r="F108" s="28">
        <v>0</v>
      </c>
      <c r="G108" s="10"/>
    </row>
    <row r="109" spans="1:7">
      <c r="A109" s="22" t="s">
        <v>253</v>
      </c>
      <c r="G109" s="10"/>
    </row>
    <row r="110" spans="1:7">
      <c r="A110" s="11" t="s">
        <v>179</v>
      </c>
      <c r="B110" s="28">
        <v>1</v>
      </c>
      <c r="C110" s="28">
        <v>0</v>
      </c>
      <c r="D110" s="28">
        <v>0</v>
      </c>
      <c r="E110" s="28">
        <v>0</v>
      </c>
      <c r="F110" s="28">
        <v>0</v>
      </c>
      <c r="G110" s="10"/>
    </row>
    <row r="111" spans="1:7">
      <c r="A111" s="11" t="s">
        <v>254</v>
      </c>
      <c r="B111" s="28">
        <v>0</v>
      </c>
      <c r="C111" s="28">
        <v>0</v>
      </c>
      <c r="D111" s="28">
        <v>0</v>
      </c>
      <c r="E111" s="28">
        <v>1</v>
      </c>
      <c r="F111" s="28">
        <v>0</v>
      </c>
      <c r="G111" s="10"/>
    </row>
    <row r="112" spans="1:7">
      <c r="A112" s="22" t="s">
        <v>255</v>
      </c>
      <c r="G112" s="10"/>
    </row>
    <row r="113" spans="1:7">
      <c r="A113" s="11" t="s">
        <v>192</v>
      </c>
      <c r="B113" s="28">
        <v>1</v>
      </c>
      <c r="C113" s="28">
        <v>0</v>
      </c>
      <c r="D113" s="28">
        <v>0</v>
      </c>
      <c r="E113" s="28">
        <v>0</v>
      </c>
      <c r="F113" s="28">
        <v>0</v>
      </c>
      <c r="G113" s="10"/>
    </row>
    <row r="114" spans="1:7">
      <c r="A114" s="11" t="s">
        <v>256</v>
      </c>
      <c r="B114" s="28">
        <v>0</v>
      </c>
      <c r="C114" s="28">
        <v>0</v>
      </c>
      <c r="D114" s="28">
        <v>0</v>
      </c>
      <c r="E114" s="28">
        <v>0</v>
      </c>
      <c r="F114" s="28">
        <v>1</v>
      </c>
      <c r="G114" s="10"/>
    </row>
    <row r="115" spans="1:7">
      <c r="A115" s="22" t="s">
        <v>257</v>
      </c>
      <c r="G115" s="10"/>
    </row>
    <row r="116" spans="1:7">
      <c r="A116" s="11" t="s">
        <v>212</v>
      </c>
      <c r="B116" s="28">
        <v>1</v>
      </c>
      <c r="C116" s="28">
        <v>0</v>
      </c>
      <c r="D116" s="28">
        <v>0</v>
      </c>
      <c r="E116" s="28">
        <v>0</v>
      </c>
      <c r="F116" s="28">
        <v>0</v>
      </c>
      <c r="G116" s="10"/>
    </row>
    <row r="117" spans="1:7">
      <c r="A117" s="11" t="s">
        <v>258</v>
      </c>
      <c r="B117" s="28">
        <v>0</v>
      </c>
      <c r="C117" s="28">
        <v>1</v>
      </c>
      <c r="D117" s="28">
        <v>0</v>
      </c>
      <c r="E117" s="28">
        <v>0</v>
      </c>
      <c r="F117" s="28">
        <v>0</v>
      </c>
      <c r="G117" s="10"/>
    </row>
    <row r="118" spans="1:7">
      <c r="A118" s="11" t="s">
        <v>259</v>
      </c>
      <c r="B118" s="28">
        <v>0</v>
      </c>
      <c r="C118" s="28">
        <v>0</v>
      </c>
      <c r="D118" s="28">
        <v>1</v>
      </c>
      <c r="E118" s="28">
        <v>0</v>
      </c>
      <c r="F118" s="28">
        <v>0</v>
      </c>
      <c r="G118" s="10"/>
    </row>
    <row r="119" spans="1:7">
      <c r="A119" s="22" t="s">
        <v>260</v>
      </c>
      <c r="G119" s="10"/>
    </row>
    <row r="120" spans="1:7">
      <c r="A120" s="11" t="s">
        <v>213</v>
      </c>
      <c r="B120" s="28">
        <v>1</v>
      </c>
      <c r="C120" s="28">
        <v>0</v>
      </c>
      <c r="D120" s="28">
        <v>0</v>
      </c>
      <c r="E120" s="28">
        <v>0</v>
      </c>
      <c r="F120" s="28">
        <v>0</v>
      </c>
      <c r="G120" s="10"/>
    </row>
    <row r="121" spans="1:7">
      <c r="A121" s="11" t="s">
        <v>261</v>
      </c>
      <c r="B121" s="28">
        <v>0</v>
      </c>
      <c r="C121" s="28">
        <v>1</v>
      </c>
      <c r="D121" s="28">
        <v>0</v>
      </c>
      <c r="E121" s="28">
        <v>0</v>
      </c>
      <c r="F121" s="28">
        <v>0</v>
      </c>
      <c r="G121" s="10"/>
    </row>
    <row r="122" spans="1:7">
      <c r="A122" s="11" t="s">
        <v>262</v>
      </c>
      <c r="B122" s="28">
        <v>0</v>
      </c>
      <c r="C122" s="28">
        <v>0</v>
      </c>
      <c r="D122" s="28">
        <v>1</v>
      </c>
      <c r="E122" s="28">
        <v>0</v>
      </c>
      <c r="F122" s="28">
        <v>0</v>
      </c>
      <c r="G122" s="10"/>
    </row>
    <row r="123" spans="1:7">
      <c r="A123" s="22" t="s">
        <v>263</v>
      </c>
      <c r="G123" s="10"/>
    </row>
    <row r="124" spans="1:7">
      <c r="A124" s="11" t="s">
        <v>214</v>
      </c>
      <c r="B124" s="28">
        <v>1</v>
      </c>
      <c r="C124" s="28">
        <v>0</v>
      </c>
      <c r="D124" s="28">
        <v>0</v>
      </c>
      <c r="E124" s="28">
        <v>0</v>
      </c>
      <c r="F124" s="28">
        <v>0</v>
      </c>
      <c r="G124" s="10"/>
    </row>
    <row r="125" spans="1:7">
      <c r="A125" s="11" t="s">
        <v>264</v>
      </c>
      <c r="B125" s="28">
        <v>0</v>
      </c>
      <c r="C125" s="28">
        <v>1</v>
      </c>
      <c r="D125" s="28">
        <v>0</v>
      </c>
      <c r="E125" s="28">
        <v>0</v>
      </c>
      <c r="F125" s="28">
        <v>0</v>
      </c>
      <c r="G125" s="10"/>
    </row>
    <row r="126" spans="1:7">
      <c r="A126" s="11" t="s">
        <v>265</v>
      </c>
      <c r="B126" s="28">
        <v>0</v>
      </c>
      <c r="C126" s="28">
        <v>0</v>
      </c>
      <c r="D126" s="28">
        <v>1</v>
      </c>
      <c r="E126" s="28">
        <v>0</v>
      </c>
      <c r="F126" s="28">
        <v>0</v>
      </c>
      <c r="G126" s="10"/>
    </row>
    <row r="127" spans="1:7">
      <c r="A127" s="22" t="s">
        <v>266</v>
      </c>
      <c r="G127" s="10"/>
    </row>
    <row r="128" spans="1:7">
      <c r="A128" s="11" t="s">
        <v>215</v>
      </c>
      <c r="B128" s="28">
        <v>1</v>
      </c>
      <c r="C128" s="28">
        <v>0</v>
      </c>
      <c r="D128" s="28">
        <v>0</v>
      </c>
      <c r="E128" s="28">
        <v>0</v>
      </c>
      <c r="F128" s="28">
        <v>0</v>
      </c>
      <c r="G128" s="10"/>
    </row>
    <row r="129" spans="1:7">
      <c r="A129" s="11" t="s">
        <v>267</v>
      </c>
      <c r="B129" s="28">
        <v>0</v>
      </c>
      <c r="C129" s="28">
        <v>1</v>
      </c>
      <c r="D129" s="28">
        <v>0</v>
      </c>
      <c r="E129" s="28">
        <v>0</v>
      </c>
      <c r="F129" s="28">
        <v>0</v>
      </c>
      <c r="G129" s="10"/>
    </row>
    <row r="130" spans="1:7">
      <c r="A130" s="11" t="s">
        <v>268</v>
      </c>
      <c r="B130" s="28">
        <v>0</v>
      </c>
      <c r="C130" s="28">
        <v>0</v>
      </c>
      <c r="D130" s="28">
        <v>1</v>
      </c>
      <c r="E130" s="28">
        <v>0</v>
      </c>
      <c r="F130" s="28">
        <v>0</v>
      </c>
      <c r="G130" s="10"/>
    </row>
    <row r="131" spans="1:7">
      <c r="A131" s="22" t="s">
        <v>269</v>
      </c>
      <c r="G131" s="10"/>
    </row>
    <row r="132" spans="1:7">
      <c r="A132" s="11" t="s">
        <v>216</v>
      </c>
      <c r="B132" s="28">
        <v>1</v>
      </c>
      <c r="C132" s="28">
        <v>0</v>
      </c>
      <c r="D132" s="28">
        <v>0</v>
      </c>
      <c r="E132" s="28">
        <v>0</v>
      </c>
      <c r="F132" s="28">
        <v>0</v>
      </c>
      <c r="G132" s="10"/>
    </row>
    <row r="133" spans="1:7">
      <c r="A133" s="11" t="s">
        <v>270</v>
      </c>
      <c r="B133" s="28">
        <v>0</v>
      </c>
      <c r="C133" s="28">
        <v>1</v>
      </c>
      <c r="D133" s="28">
        <v>0</v>
      </c>
      <c r="E133" s="28">
        <v>0</v>
      </c>
      <c r="F133" s="28">
        <v>0</v>
      </c>
      <c r="G133" s="10"/>
    </row>
    <row r="134" spans="1:7">
      <c r="A134" s="11" t="s">
        <v>271</v>
      </c>
      <c r="B134" s="28">
        <v>0</v>
      </c>
      <c r="C134" s="28">
        <v>0</v>
      </c>
      <c r="D134" s="28">
        <v>1</v>
      </c>
      <c r="E134" s="28">
        <v>0</v>
      </c>
      <c r="F134" s="28">
        <v>0</v>
      </c>
      <c r="G134" s="10"/>
    </row>
    <row r="135" spans="1:7">
      <c r="A135" s="22" t="s">
        <v>272</v>
      </c>
      <c r="G135" s="10"/>
    </row>
    <row r="136" spans="1:7">
      <c r="A136" s="11" t="s">
        <v>180</v>
      </c>
      <c r="B136" s="28">
        <v>1</v>
      </c>
      <c r="C136" s="28">
        <v>0</v>
      </c>
      <c r="D136" s="28">
        <v>0</v>
      </c>
      <c r="E136" s="28">
        <v>0</v>
      </c>
      <c r="F136" s="28">
        <v>0</v>
      </c>
      <c r="G136" s="10"/>
    </row>
    <row r="137" spans="1:7">
      <c r="A137" s="11" t="s">
        <v>273</v>
      </c>
      <c r="B137" s="28">
        <v>1</v>
      </c>
      <c r="C137" s="28">
        <v>0</v>
      </c>
      <c r="D137" s="28">
        <v>0</v>
      </c>
      <c r="E137" s="28">
        <v>0</v>
      </c>
      <c r="F137" s="28">
        <v>0</v>
      </c>
      <c r="G137" s="10"/>
    </row>
    <row r="138" spans="1:7">
      <c r="A138" s="11" t="s">
        <v>274</v>
      </c>
      <c r="B138" s="28">
        <v>1</v>
      </c>
      <c r="C138" s="28">
        <v>0</v>
      </c>
      <c r="D138" s="28">
        <v>0</v>
      </c>
      <c r="E138" s="28">
        <v>0</v>
      </c>
      <c r="F138" s="28">
        <v>0</v>
      </c>
      <c r="G138" s="10"/>
    </row>
    <row r="139" spans="1:7">
      <c r="A139" s="22" t="s">
        <v>275</v>
      </c>
      <c r="G139" s="10"/>
    </row>
    <row r="140" spans="1:7">
      <c r="A140" s="11" t="s">
        <v>181</v>
      </c>
      <c r="B140" s="28">
        <v>1</v>
      </c>
      <c r="C140" s="28">
        <v>0</v>
      </c>
      <c r="D140" s="28">
        <v>0</v>
      </c>
      <c r="E140" s="28">
        <v>0</v>
      </c>
      <c r="F140" s="28">
        <v>0</v>
      </c>
      <c r="G140" s="10"/>
    </row>
    <row r="141" spans="1:7">
      <c r="A141" s="11" t="s">
        <v>276</v>
      </c>
      <c r="B141" s="28">
        <v>1</v>
      </c>
      <c r="C141" s="28">
        <v>0</v>
      </c>
      <c r="D141" s="28">
        <v>0</v>
      </c>
      <c r="E141" s="28">
        <v>0</v>
      </c>
      <c r="F141" s="28">
        <v>0</v>
      </c>
      <c r="G141" s="10"/>
    </row>
    <row r="142" spans="1:7">
      <c r="A142" s="22" t="s">
        <v>277</v>
      </c>
      <c r="G142" s="10"/>
    </row>
    <row r="143" spans="1:7">
      <c r="A143" s="11" t="s">
        <v>182</v>
      </c>
      <c r="B143" s="28">
        <v>1</v>
      </c>
      <c r="C143" s="28">
        <v>0</v>
      </c>
      <c r="D143" s="28">
        <v>0</v>
      </c>
      <c r="E143" s="28">
        <v>0</v>
      </c>
      <c r="F143" s="28">
        <v>0</v>
      </c>
      <c r="G143" s="10"/>
    </row>
    <row r="144" spans="1:7">
      <c r="A144" s="11" t="s">
        <v>278</v>
      </c>
      <c r="B144" s="28">
        <v>1</v>
      </c>
      <c r="C144" s="28">
        <v>0</v>
      </c>
      <c r="D144" s="28">
        <v>0</v>
      </c>
      <c r="E144" s="28">
        <v>0</v>
      </c>
      <c r="F144" s="28">
        <v>0</v>
      </c>
      <c r="G144" s="10"/>
    </row>
    <row r="145" spans="1:7">
      <c r="A145" s="11" t="s">
        <v>279</v>
      </c>
      <c r="B145" s="28">
        <v>1</v>
      </c>
      <c r="C145" s="28">
        <v>0</v>
      </c>
      <c r="D145" s="28">
        <v>0</v>
      </c>
      <c r="E145" s="28">
        <v>0</v>
      </c>
      <c r="F145" s="28">
        <v>0</v>
      </c>
      <c r="G145" s="10"/>
    </row>
    <row r="146" spans="1:7">
      <c r="A146" s="22" t="s">
        <v>280</v>
      </c>
      <c r="G146" s="10"/>
    </row>
    <row r="147" spans="1:7">
      <c r="A147" s="11" t="s">
        <v>183</v>
      </c>
      <c r="B147" s="28">
        <v>1</v>
      </c>
      <c r="C147" s="28">
        <v>0</v>
      </c>
      <c r="D147" s="28">
        <v>0</v>
      </c>
      <c r="E147" s="28">
        <v>0</v>
      </c>
      <c r="F147" s="28">
        <v>0</v>
      </c>
      <c r="G147" s="10"/>
    </row>
    <row r="148" spans="1:7">
      <c r="A148" s="11" t="s">
        <v>281</v>
      </c>
      <c r="B148" s="28">
        <v>1</v>
      </c>
      <c r="C148" s="28">
        <v>0</v>
      </c>
      <c r="D148" s="28">
        <v>0</v>
      </c>
      <c r="E148" s="28">
        <v>0</v>
      </c>
      <c r="F148" s="28">
        <v>0</v>
      </c>
      <c r="G148" s="10"/>
    </row>
    <row r="149" spans="1:7">
      <c r="A149" s="11" t="s">
        <v>282</v>
      </c>
      <c r="B149" s="28">
        <v>1</v>
      </c>
      <c r="C149" s="28">
        <v>0</v>
      </c>
      <c r="D149" s="28">
        <v>0</v>
      </c>
      <c r="E149" s="28">
        <v>0</v>
      </c>
      <c r="F149" s="28">
        <v>0</v>
      </c>
      <c r="G149" s="10"/>
    </row>
    <row r="150" spans="1:7">
      <c r="A150" s="22" t="s">
        <v>283</v>
      </c>
      <c r="G150" s="10"/>
    </row>
    <row r="151" spans="1:7">
      <c r="A151" s="11" t="s">
        <v>184</v>
      </c>
      <c r="B151" s="28">
        <v>1</v>
      </c>
      <c r="C151" s="28">
        <v>0</v>
      </c>
      <c r="D151" s="28">
        <v>0</v>
      </c>
      <c r="E151" s="28">
        <v>0</v>
      </c>
      <c r="F151" s="28">
        <v>0</v>
      </c>
      <c r="G151" s="10"/>
    </row>
    <row r="152" spans="1:7">
      <c r="A152" s="11" t="s">
        <v>284</v>
      </c>
      <c r="B152" s="28">
        <v>1</v>
      </c>
      <c r="C152" s="28">
        <v>0</v>
      </c>
      <c r="D152" s="28">
        <v>0</v>
      </c>
      <c r="E152" s="28">
        <v>0</v>
      </c>
      <c r="F152" s="28">
        <v>0</v>
      </c>
      <c r="G152" s="10"/>
    </row>
    <row r="153" spans="1:7">
      <c r="A153" s="22" t="s">
        <v>285</v>
      </c>
      <c r="G153" s="10"/>
    </row>
    <row r="154" spans="1:7">
      <c r="A154" s="11" t="s">
        <v>185</v>
      </c>
      <c r="B154" s="28">
        <v>1</v>
      </c>
      <c r="C154" s="28">
        <v>0</v>
      </c>
      <c r="D154" s="28">
        <v>0</v>
      </c>
      <c r="E154" s="28">
        <v>0</v>
      </c>
      <c r="F154" s="28">
        <v>0</v>
      </c>
      <c r="G154" s="10"/>
    </row>
    <row r="155" spans="1:7">
      <c r="A155" s="11" t="s">
        <v>286</v>
      </c>
      <c r="B155" s="28">
        <v>1</v>
      </c>
      <c r="C155" s="28">
        <v>0</v>
      </c>
      <c r="D155" s="28">
        <v>0</v>
      </c>
      <c r="E155" s="28">
        <v>0</v>
      </c>
      <c r="F155" s="28">
        <v>0</v>
      </c>
      <c r="G155" s="10"/>
    </row>
    <row r="156" spans="1:7">
      <c r="A156" s="22" t="s">
        <v>287</v>
      </c>
      <c r="G156" s="10"/>
    </row>
    <row r="157" spans="1:7">
      <c r="A157" s="11" t="s">
        <v>193</v>
      </c>
      <c r="B157" s="28">
        <v>1</v>
      </c>
      <c r="C157" s="28">
        <v>0</v>
      </c>
      <c r="D157" s="28">
        <v>0</v>
      </c>
      <c r="E157" s="28">
        <v>0</v>
      </c>
      <c r="F157" s="28">
        <v>0</v>
      </c>
      <c r="G157" s="10"/>
    </row>
    <row r="158" spans="1:7">
      <c r="A158" s="11" t="s">
        <v>288</v>
      </c>
      <c r="B158" s="28">
        <v>1</v>
      </c>
      <c r="C158" s="28">
        <v>0</v>
      </c>
      <c r="D158" s="28">
        <v>0</v>
      </c>
      <c r="E158" s="28">
        <v>0</v>
      </c>
      <c r="F158" s="28">
        <v>0</v>
      </c>
      <c r="G158" s="10"/>
    </row>
    <row r="159" spans="1:7">
      <c r="A159" s="22" t="s">
        <v>289</v>
      </c>
      <c r="G159" s="10"/>
    </row>
    <row r="160" spans="1:7">
      <c r="A160" s="11" t="s">
        <v>194</v>
      </c>
      <c r="B160" s="28">
        <v>1</v>
      </c>
      <c r="C160" s="28">
        <v>0</v>
      </c>
      <c r="D160" s="28">
        <v>0</v>
      </c>
      <c r="E160" s="28">
        <v>0</v>
      </c>
      <c r="F160" s="28">
        <v>0</v>
      </c>
      <c r="G160" s="10"/>
    </row>
    <row r="161" spans="1:9">
      <c r="A161" s="11" t="s">
        <v>290</v>
      </c>
      <c r="B161" s="28">
        <v>1</v>
      </c>
      <c r="C161" s="28">
        <v>0</v>
      </c>
      <c r="D161" s="28">
        <v>0</v>
      </c>
      <c r="E161" s="28">
        <v>0</v>
      </c>
      <c r="F161" s="28">
        <v>0</v>
      </c>
      <c r="G161" s="10"/>
    </row>
    <row r="163" spans="1:9">
      <c r="A163" s="1" t="s">
        <v>504</v>
      </c>
    </row>
    <row r="164" spans="1:9">
      <c r="A164" s="2" t="s">
        <v>349</v>
      </c>
    </row>
    <row r="165" spans="1:9">
      <c r="A165" s="12" t="s">
        <v>505</v>
      </c>
    </row>
    <row r="166" spans="1:9">
      <c r="A166" s="12" t="s">
        <v>506</v>
      </c>
    </row>
    <row r="167" spans="1:9">
      <c r="A167" s="2" t="s">
        <v>507</v>
      </c>
    </row>
    <row r="168" spans="1:9">
      <c r="A168" s="12" t="s">
        <v>508</v>
      </c>
    </row>
    <row r="169" spans="1:9">
      <c r="A169" s="12" t="s">
        <v>509</v>
      </c>
    </row>
    <row r="170" spans="1:9">
      <c r="A170" s="12" t="s">
        <v>510</v>
      </c>
    </row>
    <row r="171" spans="1:9">
      <c r="A171" s="12" t="s">
        <v>511</v>
      </c>
    </row>
    <row r="172" spans="1:9">
      <c r="A172" s="12" t="s">
        <v>512</v>
      </c>
    </row>
    <row r="173" spans="1:9">
      <c r="A173" s="12" t="s">
        <v>513</v>
      </c>
    </row>
    <row r="174" spans="1:9">
      <c r="A174" s="12" t="s">
        <v>514</v>
      </c>
    </row>
    <row r="175" spans="1:9">
      <c r="A175" s="12" t="s">
        <v>515</v>
      </c>
    </row>
    <row r="176" spans="1:9">
      <c r="A176" s="26" t="s">
        <v>352</v>
      </c>
      <c r="B176" s="26" t="s">
        <v>354</v>
      </c>
      <c r="C176" s="26" t="s">
        <v>516</v>
      </c>
      <c r="D176" s="26" t="s">
        <v>482</v>
      </c>
      <c r="E176" s="26" t="s">
        <v>482</v>
      </c>
      <c r="F176" s="26" t="s">
        <v>482</v>
      </c>
      <c r="G176" s="26" t="s">
        <v>482</v>
      </c>
      <c r="H176" s="26" t="s">
        <v>482</v>
      </c>
      <c r="I176" s="26" t="s">
        <v>482</v>
      </c>
    </row>
    <row r="177" spans="1:10">
      <c r="A177" s="26" t="s">
        <v>355</v>
      </c>
      <c r="B177" s="26" t="s">
        <v>357</v>
      </c>
      <c r="C177" s="26" t="s">
        <v>517</v>
      </c>
      <c r="D177" s="26" t="s">
        <v>518</v>
      </c>
      <c r="E177" s="26" t="s">
        <v>519</v>
      </c>
      <c r="F177" s="26" t="s">
        <v>520</v>
      </c>
      <c r="G177" s="26" t="s">
        <v>521</v>
      </c>
      <c r="H177" s="26" t="s">
        <v>522</v>
      </c>
      <c r="I177" s="26" t="s">
        <v>523</v>
      </c>
    </row>
    <row r="179" spans="1:10">
      <c r="B179" s="3" t="s">
        <v>524</v>
      </c>
      <c r="C179" s="3" t="s">
        <v>525</v>
      </c>
      <c r="D179" s="3" t="s">
        <v>221</v>
      </c>
      <c r="E179" s="3" t="s">
        <v>222</v>
      </c>
      <c r="F179" s="3" t="s">
        <v>223</v>
      </c>
      <c r="G179" s="3" t="s">
        <v>224</v>
      </c>
      <c r="H179" s="3" t="s">
        <v>225</v>
      </c>
      <c r="I179" s="3" t="s">
        <v>226</v>
      </c>
    </row>
    <row r="180" spans="1:10">
      <c r="A180" s="22" t="s">
        <v>227</v>
      </c>
      <c r="J180" s="10"/>
    </row>
    <row r="181" spans="1:10">
      <c r="A181" s="11" t="s">
        <v>172</v>
      </c>
      <c r="B181" s="29">
        <f>SUMPRODUCT($B74:$F74,'Input'!$B$152:$F$152)</f>
        <v>0</v>
      </c>
      <c r="C181" s="31">
        <f>B181</f>
        <v>0</v>
      </c>
      <c r="D181" s="6">
        <f>'Input'!B183*(1-B181)</f>
        <v>0</v>
      </c>
      <c r="E181" s="6">
        <f>'Input'!C183*(1-B181)</f>
        <v>0</v>
      </c>
      <c r="F181" s="6">
        <f>'Input'!D183*(1-B181)</f>
        <v>0</v>
      </c>
      <c r="G181" s="6">
        <f>'Input'!E183*(1-C181)</f>
        <v>0</v>
      </c>
      <c r="H181" s="6">
        <f>'Input'!F183*(1-B181)</f>
        <v>0</v>
      </c>
      <c r="I181" s="6">
        <f>'Input'!G183*(1-B181)</f>
        <v>0</v>
      </c>
      <c r="J181" s="10"/>
    </row>
    <row r="182" spans="1:10">
      <c r="A182" s="11" t="s">
        <v>228</v>
      </c>
      <c r="B182" s="29">
        <f>SUMPRODUCT($B75:$F75,'Input'!$B$152:$F$152)</f>
        <v>0</v>
      </c>
      <c r="C182" s="31">
        <f>B182</f>
        <v>0</v>
      </c>
      <c r="D182" s="6">
        <f>'Input'!B184*(1-B182)</f>
        <v>0</v>
      </c>
      <c r="E182" s="6">
        <f>'Input'!C184*(1-B182)</f>
        <v>0</v>
      </c>
      <c r="F182" s="6">
        <f>'Input'!D184*(1-B182)</f>
        <v>0</v>
      </c>
      <c r="G182" s="6">
        <f>'Input'!E184*(1-C182)</f>
        <v>0</v>
      </c>
      <c r="H182" s="6">
        <f>'Input'!F184*(1-B182)</f>
        <v>0</v>
      </c>
      <c r="I182" s="6">
        <f>'Input'!G184*(1-B182)</f>
        <v>0</v>
      </c>
      <c r="J182" s="10"/>
    </row>
    <row r="183" spans="1:10">
      <c r="A183" s="11" t="s">
        <v>229</v>
      </c>
      <c r="B183" s="29">
        <f>SUMPRODUCT($B76:$F76,'Input'!$B$152:$F$152)</f>
        <v>0</v>
      </c>
      <c r="C183" s="31">
        <f>B183</f>
        <v>0</v>
      </c>
      <c r="D183" s="6">
        <f>'Input'!B185*(1-B183)</f>
        <v>0</v>
      </c>
      <c r="E183" s="6">
        <f>'Input'!C185*(1-B183)</f>
        <v>0</v>
      </c>
      <c r="F183" s="6">
        <f>'Input'!D185*(1-B183)</f>
        <v>0</v>
      </c>
      <c r="G183" s="6">
        <f>'Input'!E185*(1-C183)</f>
        <v>0</v>
      </c>
      <c r="H183" s="6">
        <f>'Input'!F185*(1-B183)</f>
        <v>0</v>
      </c>
      <c r="I183" s="6">
        <f>'Input'!G185*(1-B183)</f>
        <v>0</v>
      </c>
      <c r="J183" s="10"/>
    </row>
    <row r="184" spans="1:10">
      <c r="A184" s="22" t="s">
        <v>230</v>
      </c>
      <c r="J184" s="10"/>
    </row>
    <row r="185" spans="1:10">
      <c r="A185" s="11" t="s">
        <v>173</v>
      </c>
      <c r="B185" s="29">
        <f>SUMPRODUCT($B78:$F78,'Input'!$B$152:$F$152)</f>
        <v>0</v>
      </c>
      <c r="C185" s="31">
        <f>B185</f>
        <v>0</v>
      </c>
      <c r="D185" s="6">
        <f>'Input'!B187*(1-B185)</f>
        <v>0</v>
      </c>
      <c r="E185" s="6">
        <f>'Input'!C187*(1-B185)</f>
        <v>0</v>
      </c>
      <c r="F185" s="6">
        <f>'Input'!D187*(1-B185)</f>
        <v>0</v>
      </c>
      <c r="G185" s="6">
        <f>'Input'!E187*(1-C185)</f>
        <v>0</v>
      </c>
      <c r="H185" s="6">
        <f>'Input'!F187*(1-B185)</f>
        <v>0</v>
      </c>
      <c r="I185" s="6">
        <f>'Input'!G187*(1-B185)</f>
        <v>0</v>
      </c>
      <c r="J185" s="10"/>
    </row>
    <row r="186" spans="1:10">
      <c r="A186" s="11" t="s">
        <v>231</v>
      </c>
      <c r="B186" s="29">
        <f>SUMPRODUCT($B79:$F79,'Input'!$B$152:$F$152)</f>
        <v>0</v>
      </c>
      <c r="C186" s="31">
        <f>B186</f>
        <v>0</v>
      </c>
      <c r="D186" s="6">
        <f>'Input'!B188*(1-B186)</f>
        <v>0</v>
      </c>
      <c r="E186" s="6">
        <f>'Input'!C188*(1-B186)</f>
        <v>0</v>
      </c>
      <c r="F186" s="6">
        <f>'Input'!D188*(1-B186)</f>
        <v>0</v>
      </c>
      <c r="G186" s="6">
        <f>'Input'!E188*(1-C186)</f>
        <v>0</v>
      </c>
      <c r="H186" s="6">
        <f>'Input'!F188*(1-B186)</f>
        <v>0</v>
      </c>
      <c r="I186" s="6">
        <f>'Input'!G188*(1-B186)</f>
        <v>0</v>
      </c>
      <c r="J186" s="10"/>
    </row>
    <row r="187" spans="1:10">
      <c r="A187" s="11" t="s">
        <v>232</v>
      </c>
      <c r="B187" s="29">
        <f>SUMPRODUCT($B80:$F80,'Input'!$B$152:$F$152)</f>
        <v>0</v>
      </c>
      <c r="C187" s="31">
        <f>B187</f>
        <v>0</v>
      </c>
      <c r="D187" s="6">
        <f>'Input'!B189*(1-B187)</f>
        <v>0</v>
      </c>
      <c r="E187" s="6">
        <f>'Input'!C189*(1-B187)</f>
        <v>0</v>
      </c>
      <c r="F187" s="6">
        <f>'Input'!D189*(1-B187)</f>
        <v>0</v>
      </c>
      <c r="G187" s="6">
        <f>'Input'!E189*(1-C187)</f>
        <v>0</v>
      </c>
      <c r="H187" s="6">
        <f>'Input'!F189*(1-B187)</f>
        <v>0</v>
      </c>
      <c r="I187" s="6">
        <f>'Input'!G189*(1-B187)</f>
        <v>0</v>
      </c>
      <c r="J187" s="10"/>
    </row>
    <row r="188" spans="1:10">
      <c r="A188" s="22" t="s">
        <v>233</v>
      </c>
      <c r="J188" s="10"/>
    </row>
    <row r="189" spans="1:10">
      <c r="A189" s="11" t="s">
        <v>210</v>
      </c>
      <c r="B189" s="29">
        <f>SUMPRODUCT($B82:$F82,'Input'!$B$152:$F$152)</f>
        <v>0</v>
      </c>
      <c r="C189" s="31">
        <f>B189</f>
        <v>0</v>
      </c>
      <c r="D189" s="6">
        <f>'Input'!B191*(1-B189)</f>
        <v>0</v>
      </c>
      <c r="E189" s="6">
        <f>'Input'!C191*(1-B189)</f>
        <v>0</v>
      </c>
      <c r="F189" s="6">
        <f>'Input'!D191*(1-B189)</f>
        <v>0</v>
      </c>
      <c r="G189" s="6">
        <f>'Input'!E191*(1-C189)</f>
        <v>0</v>
      </c>
      <c r="H189" s="6">
        <f>'Input'!F191*(1-B189)</f>
        <v>0</v>
      </c>
      <c r="I189" s="6">
        <f>'Input'!G191*(1-B189)</f>
        <v>0</v>
      </c>
      <c r="J189" s="10"/>
    </row>
    <row r="190" spans="1:10">
      <c r="A190" s="11" t="s">
        <v>234</v>
      </c>
      <c r="B190" s="29">
        <f>SUMPRODUCT($B83:$F83,'Input'!$B$152:$F$152)</f>
        <v>0</v>
      </c>
      <c r="C190" s="31">
        <f>B190</f>
        <v>0</v>
      </c>
      <c r="D190" s="6">
        <f>'Input'!B192*(1-B190)</f>
        <v>0</v>
      </c>
      <c r="E190" s="6">
        <f>'Input'!C192*(1-B190)</f>
        <v>0</v>
      </c>
      <c r="F190" s="6">
        <f>'Input'!D192*(1-B190)</f>
        <v>0</v>
      </c>
      <c r="G190" s="6">
        <f>'Input'!E192*(1-C190)</f>
        <v>0</v>
      </c>
      <c r="H190" s="6">
        <f>'Input'!F192*(1-B190)</f>
        <v>0</v>
      </c>
      <c r="I190" s="6">
        <f>'Input'!G192*(1-B190)</f>
        <v>0</v>
      </c>
      <c r="J190" s="10"/>
    </row>
    <row r="191" spans="1:10">
      <c r="A191" s="11" t="s">
        <v>235</v>
      </c>
      <c r="B191" s="29">
        <f>SUMPRODUCT($B84:$F84,'Input'!$B$152:$F$152)</f>
        <v>0</v>
      </c>
      <c r="C191" s="31">
        <f>B191</f>
        <v>0</v>
      </c>
      <c r="D191" s="6">
        <f>'Input'!B193*(1-B191)</f>
        <v>0</v>
      </c>
      <c r="E191" s="6">
        <f>'Input'!C193*(1-B191)</f>
        <v>0</v>
      </c>
      <c r="F191" s="6">
        <f>'Input'!D193*(1-B191)</f>
        <v>0</v>
      </c>
      <c r="G191" s="6">
        <f>'Input'!E193*(1-C191)</f>
        <v>0</v>
      </c>
      <c r="H191" s="6">
        <f>'Input'!F193*(1-B191)</f>
        <v>0</v>
      </c>
      <c r="I191" s="6">
        <f>'Input'!G193*(1-B191)</f>
        <v>0</v>
      </c>
      <c r="J191" s="10"/>
    </row>
    <row r="192" spans="1:10">
      <c r="A192" s="22" t="s">
        <v>236</v>
      </c>
      <c r="J192" s="10"/>
    </row>
    <row r="193" spans="1:10">
      <c r="A193" s="11" t="s">
        <v>174</v>
      </c>
      <c r="B193" s="29">
        <f>SUMPRODUCT($B86:$F86,'Input'!$B$152:$F$152)</f>
        <v>0</v>
      </c>
      <c r="C193" s="31">
        <f>B193</f>
        <v>0</v>
      </c>
      <c r="D193" s="6">
        <f>'Input'!B195*(1-B193)</f>
        <v>0</v>
      </c>
      <c r="E193" s="6">
        <f>'Input'!C195*(1-B193)</f>
        <v>0</v>
      </c>
      <c r="F193" s="6">
        <f>'Input'!D195*(1-B193)</f>
        <v>0</v>
      </c>
      <c r="G193" s="6">
        <f>'Input'!E195*(1-C193)</f>
        <v>0</v>
      </c>
      <c r="H193" s="6">
        <f>'Input'!F195*(1-B193)</f>
        <v>0</v>
      </c>
      <c r="I193" s="6">
        <f>'Input'!G195*(1-B193)</f>
        <v>0</v>
      </c>
      <c r="J193" s="10"/>
    </row>
    <row r="194" spans="1:10">
      <c r="A194" s="11" t="s">
        <v>237</v>
      </c>
      <c r="B194" s="29">
        <f>SUMPRODUCT($B87:$F87,'Input'!$B$152:$F$152)</f>
        <v>0</v>
      </c>
      <c r="C194" s="31">
        <f>B194</f>
        <v>0</v>
      </c>
      <c r="D194" s="6">
        <f>'Input'!B196*(1-B194)</f>
        <v>0</v>
      </c>
      <c r="E194" s="6">
        <f>'Input'!C196*(1-B194)</f>
        <v>0</v>
      </c>
      <c r="F194" s="6">
        <f>'Input'!D196*(1-B194)</f>
        <v>0</v>
      </c>
      <c r="G194" s="6">
        <f>'Input'!E196*(1-C194)</f>
        <v>0</v>
      </c>
      <c r="H194" s="6">
        <f>'Input'!F196*(1-B194)</f>
        <v>0</v>
      </c>
      <c r="I194" s="6">
        <f>'Input'!G196*(1-B194)</f>
        <v>0</v>
      </c>
      <c r="J194" s="10"/>
    </row>
    <row r="195" spans="1:10">
      <c r="A195" s="11" t="s">
        <v>238</v>
      </c>
      <c r="B195" s="29">
        <f>SUMPRODUCT($B88:$F88,'Input'!$B$152:$F$152)</f>
        <v>0</v>
      </c>
      <c r="C195" s="31">
        <f>B195</f>
        <v>0</v>
      </c>
      <c r="D195" s="6">
        <f>'Input'!B197*(1-B195)</f>
        <v>0</v>
      </c>
      <c r="E195" s="6">
        <f>'Input'!C197*(1-B195)</f>
        <v>0</v>
      </c>
      <c r="F195" s="6">
        <f>'Input'!D197*(1-B195)</f>
        <v>0</v>
      </c>
      <c r="G195" s="6">
        <f>'Input'!E197*(1-C195)</f>
        <v>0</v>
      </c>
      <c r="H195" s="6">
        <f>'Input'!F197*(1-B195)</f>
        <v>0</v>
      </c>
      <c r="I195" s="6">
        <f>'Input'!G197*(1-B195)</f>
        <v>0</v>
      </c>
      <c r="J195" s="10"/>
    </row>
    <row r="196" spans="1:10">
      <c r="A196" s="22" t="s">
        <v>239</v>
      </c>
      <c r="J196" s="10"/>
    </row>
    <row r="197" spans="1:10">
      <c r="A197" s="11" t="s">
        <v>175</v>
      </c>
      <c r="B197" s="29">
        <f>SUMPRODUCT($B90:$F90,'Input'!$B$152:$F$152)</f>
        <v>0</v>
      </c>
      <c r="C197" s="31">
        <f>B197</f>
        <v>0</v>
      </c>
      <c r="D197" s="6">
        <f>'Input'!B199*(1-B197)</f>
        <v>0</v>
      </c>
      <c r="E197" s="6">
        <f>'Input'!C199*(1-B197)</f>
        <v>0</v>
      </c>
      <c r="F197" s="6">
        <f>'Input'!D199*(1-B197)</f>
        <v>0</v>
      </c>
      <c r="G197" s="6">
        <f>'Input'!E199*(1-C197)</f>
        <v>0</v>
      </c>
      <c r="H197" s="6">
        <f>'Input'!F199*(1-B197)</f>
        <v>0</v>
      </c>
      <c r="I197" s="6">
        <f>'Input'!G199*(1-B197)</f>
        <v>0</v>
      </c>
      <c r="J197" s="10"/>
    </row>
    <row r="198" spans="1:10">
      <c r="A198" s="11" t="s">
        <v>240</v>
      </c>
      <c r="B198" s="29">
        <f>SUMPRODUCT($B91:$F91,'Input'!$B$152:$F$152)</f>
        <v>0</v>
      </c>
      <c r="C198" s="31">
        <f>B198</f>
        <v>0</v>
      </c>
      <c r="D198" s="6">
        <f>'Input'!B200*(1-B198)</f>
        <v>0</v>
      </c>
      <c r="E198" s="6">
        <f>'Input'!C200*(1-B198)</f>
        <v>0</v>
      </c>
      <c r="F198" s="6">
        <f>'Input'!D200*(1-B198)</f>
        <v>0</v>
      </c>
      <c r="G198" s="6">
        <f>'Input'!E200*(1-C198)</f>
        <v>0</v>
      </c>
      <c r="H198" s="6">
        <f>'Input'!F200*(1-B198)</f>
        <v>0</v>
      </c>
      <c r="I198" s="6">
        <f>'Input'!G200*(1-B198)</f>
        <v>0</v>
      </c>
      <c r="J198" s="10"/>
    </row>
    <row r="199" spans="1:10">
      <c r="A199" s="11" t="s">
        <v>241</v>
      </c>
      <c r="B199" s="29">
        <f>SUMPRODUCT($B92:$F92,'Input'!$B$152:$F$152)</f>
        <v>0</v>
      </c>
      <c r="C199" s="31">
        <f>B199</f>
        <v>0</v>
      </c>
      <c r="D199" s="6">
        <f>'Input'!B201*(1-B199)</f>
        <v>0</v>
      </c>
      <c r="E199" s="6">
        <f>'Input'!C201*(1-B199)</f>
        <v>0</v>
      </c>
      <c r="F199" s="6">
        <f>'Input'!D201*(1-B199)</f>
        <v>0</v>
      </c>
      <c r="G199" s="6">
        <f>'Input'!E201*(1-C199)</f>
        <v>0</v>
      </c>
      <c r="H199" s="6">
        <f>'Input'!F201*(1-B199)</f>
        <v>0</v>
      </c>
      <c r="I199" s="6">
        <f>'Input'!G201*(1-B199)</f>
        <v>0</v>
      </c>
      <c r="J199" s="10"/>
    </row>
    <row r="200" spans="1:10">
      <c r="A200" s="22" t="s">
        <v>242</v>
      </c>
      <c r="J200" s="10"/>
    </row>
    <row r="201" spans="1:10">
      <c r="A201" s="11" t="s">
        <v>211</v>
      </c>
      <c r="B201" s="29">
        <f>SUMPRODUCT($B94:$F94,'Input'!$B$152:$F$152)</f>
        <v>0</v>
      </c>
      <c r="C201" s="31">
        <f>B201</f>
        <v>0</v>
      </c>
      <c r="D201" s="6">
        <f>'Input'!B203*(1-B201)</f>
        <v>0</v>
      </c>
      <c r="E201" s="6">
        <f>'Input'!C203*(1-B201)</f>
        <v>0</v>
      </c>
      <c r="F201" s="6">
        <f>'Input'!D203*(1-B201)</f>
        <v>0</v>
      </c>
      <c r="G201" s="6">
        <f>'Input'!E203*(1-C201)</f>
        <v>0</v>
      </c>
      <c r="H201" s="6">
        <f>'Input'!F203*(1-B201)</f>
        <v>0</v>
      </c>
      <c r="I201" s="6">
        <f>'Input'!G203*(1-B201)</f>
        <v>0</v>
      </c>
      <c r="J201" s="10"/>
    </row>
    <row r="202" spans="1:10">
      <c r="A202" s="11" t="s">
        <v>243</v>
      </c>
      <c r="B202" s="29">
        <f>SUMPRODUCT($B95:$F95,'Input'!$B$152:$F$152)</f>
        <v>0</v>
      </c>
      <c r="C202" s="31">
        <f>B202</f>
        <v>0</v>
      </c>
      <c r="D202" s="6">
        <f>'Input'!B204*(1-B202)</f>
        <v>0</v>
      </c>
      <c r="E202" s="6">
        <f>'Input'!C204*(1-B202)</f>
        <v>0</v>
      </c>
      <c r="F202" s="6">
        <f>'Input'!D204*(1-B202)</f>
        <v>0</v>
      </c>
      <c r="G202" s="6">
        <f>'Input'!E204*(1-C202)</f>
        <v>0</v>
      </c>
      <c r="H202" s="6">
        <f>'Input'!F204*(1-B202)</f>
        <v>0</v>
      </c>
      <c r="I202" s="6">
        <f>'Input'!G204*(1-B202)</f>
        <v>0</v>
      </c>
      <c r="J202" s="10"/>
    </row>
    <row r="203" spans="1:10">
      <c r="A203" s="11" t="s">
        <v>244</v>
      </c>
      <c r="B203" s="29">
        <f>SUMPRODUCT($B96:$F96,'Input'!$B$152:$F$152)</f>
        <v>0</v>
      </c>
      <c r="C203" s="31">
        <f>B203</f>
        <v>0</v>
      </c>
      <c r="D203" s="6">
        <f>'Input'!B205*(1-B203)</f>
        <v>0</v>
      </c>
      <c r="E203" s="6">
        <f>'Input'!C205*(1-B203)</f>
        <v>0</v>
      </c>
      <c r="F203" s="6">
        <f>'Input'!D205*(1-B203)</f>
        <v>0</v>
      </c>
      <c r="G203" s="6">
        <f>'Input'!E205*(1-C203)</f>
        <v>0</v>
      </c>
      <c r="H203" s="6">
        <f>'Input'!F205*(1-B203)</f>
        <v>0</v>
      </c>
      <c r="I203" s="6">
        <f>'Input'!G205*(1-B203)</f>
        <v>0</v>
      </c>
      <c r="J203" s="10"/>
    </row>
    <row r="204" spans="1:10">
      <c r="A204" s="22" t="s">
        <v>245</v>
      </c>
      <c r="J204" s="10"/>
    </row>
    <row r="205" spans="1:10">
      <c r="A205" s="11" t="s">
        <v>176</v>
      </c>
      <c r="B205" s="29">
        <f>SUMPRODUCT($B98:$F98,'Input'!$B$152:$F$152)</f>
        <v>0</v>
      </c>
      <c r="C205" s="31">
        <f>B205</f>
        <v>0</v>
      </c>
      <c r="D205" s="6">
        <f>'Input'!B207*(1-B205)</f>
        <v>0</v>
      </c>
      <c r="E205" s="6">
        <f>'Input'!C207*(1-B205)</f>
        <v>0</v>
      </c>
      <c r="F205" s="6">
        <f>'Input'!D207*(1-B205)</f>
        <v>0</v>
      </c>
      <c r="G205" s="6">
        <f>'Input'!E207*(1-C205)</f>
        <v>0</v>
      </c>
      <c r="H205" s="6">
        <f>'Input'!F207*(1-B205)</f>
        <v>0</v>
      </c>
      <c r="I205" s="6">
        <f>'Input'!G207*(1-B205)</f>
        <v>0</v>
      </c>
      <c r="J205" s="10"/>
    </row>
    <row r="206" spans="1:10">
      <c r="A206" s="11" t="s">
        <v>246</v>
      </c>
      <c r="B206" s="29">
        <f>SUMPRODUCT($B99:$F99,'Input'!$B$152:$F$152)</f>
        <v>0</v>
      </c>
      <c r="C206" s="31">
        <f>B206</f>
        <v>0</v>
      </c>
      <c r="D206" s="6">
        <f>'Input'!B208*(1-B206)</f>
        <v>0</v>
      </c>
      <c r="E206" s="6">
        <f>'Input'!C208*(1-B206)</f>
        <v>0</v>
      </c>
      <c r="F206" s="6">
        <f>'Input'!D208*(1-B206)</f>
        <v>0</v>
      </c>
      <c r="G206" s="6">
        <f>'Input'!E208*(1-C206)</f>
        <v>0</v>
      </c>
      <c r="H206" s="6">
        <f>'Input'!F208*(1-B206)</f>
        <v>0</v>
      </c>
      <c r="I206" s="6">
        <f>'Input'!G208*(1-B206)</f>
        <v>0</v>
      </c>
      <c r="J206" s="10"/>
    </row>
    <row r="207" spans="1:10">
      <c r="A207" s="11" t="s">
        <v>247</v>
      </c>
      <c r="B207" s="29">
        <f>SUMPRODUCT($B100:$F100,'Input'!$B$152:$F$152)</f>
        <v>0</v>
      </c>
      <c r="C207" s="31">
        <f>B207</f>
        <v>0</v>
      </c>
      <c r="D207" s="6">
        <f>'Input'!B209*(1-B207)</f>
        <v>0</v>
      </c>
      <c r="E207" s="6">
        <f>'Input'!C209*(1-B207)</f>
        <v>0</v>
      </c>
      <c r="F207" s="6">
        <f>'Input'!D209*(1-B207)</f>
        <v>0</v>
      </c>
      <c r="G207" s="6">
        <f>'Input'!E209*(1-C207)</f>
        <v>0</v>
      </c>
      <c r="H207" s="6">
        <f>'Input'!F209*(1-B207)</f>
        <v>0</v>
      </c>
      <c r="I207" s="6">
        <f>'Input'!G209*(1-B207)</f>
        <v>0</v>
      </c>
      <c r="J207" s="10"/>
    </row>
    <row r="208" spans="1:10">
      <c r="A208" s="22" t="s">
        <v>248</v>
      </c>
      <c r="J208" s="10"/>
    </row>
    <row r="209" spans="1:10">
      <c r="A209" s="11" t="s">
        <v>177</v>
      </c>
      <c r="B209" s="29">
        <f>SUMPRODUCT($B102:$F102,'Input'!$B$152:$F$152)</f>
        <v>0</v>
      </c>
      <c r="C209" s="31">
        <f>B209</f>
        <v>0</v>
      </c>
      <c r="D209" s="6">
        <f>'Input'!B211*(1-B209)</f>
        <v>0</v>
      </c>
      <c r="E209" s="6">
        <f>'Input'!C211*(1-B209)</f>
        <v>0</v>
      </c>
      <c r="F209" s="6">
        <f>'Input'!D211*(1-B209)</f>
        <v>0</v>
      </c>
      <c r="G209" s="6">
        <f>'Input'!E211*(1-C209)</f>
        <v>0</v>
      </c>
      <c r="H209" s="6">
        <f>'Input'!F211*(1-B209)</f>
        <v>0</v>
      </c>
      <c r="I209" s="6">
        <f>'Input'!G211*(1-B209)</f>
        <v>0</v>
      </c>
      <c r="J209" s="10"/>
    </row>
    <row r="210" spans="1:10">
      <c r="A210" s="22" t="s">
        <v>249</v>
      </c>
      <c r="J210" s="10"/>
    </row>
    <row r="211" spans="1:10">
      <c r="A211" s="11" t="s">
        <v>191</v>
      </c>
      <c r="B211" s="29">
        <f>SUMPRODUCT($B104:$F104,'Input'!$B$152:$F$152)</f>
        <v>0</v>
      </c>
      <c r="C211" s="31">
        <f>B211</f>
        <v>0</v>
      </c>
      <c r="D211" s="6">
        <f>'Input'!B213*(1-B211)</f>
        <v>0</v>
      </c>
      <c r="E211" s="6">
        <f>'Input'!C213*(1-B211)</f>
        <v>0</v>
      </c>
      <c r="F211" s="6">
        <f>'Input'!D213*(1-B211)</f>
        <v>0</v>
      </c>
      <c r="G211" s="6">
        <f>'Input'!E213*(1-C211)</f>
        <v>0</v>
      </c>
      <c r="H211" s="6">
        <f>'Input'!F213*(1-B211)</f>
        <v>0</v>
      </c>
      <c r="I211" s="6">
        <f>'Input'!G213*(1-B211)</f>
        <v>0</v>
      </c>
      <c r="J211" s="10"/>
    </row>
    <row r="212" spans="1:10">
      <c r="A212" s="22" t="s">
        <v>250</v>
      </c>
      <c r="J212" s="10"/>
    </row>
    <row r="213" spans="1:10">
      <c r="A213" s="11" t="s">
        <v>178</v>
      </c>
      <c r="B213" s="29">
        <f>SUMPRODUCT($B106:$F106,'Input'!$B$152:$F$152)</f>
        <v>0</v>
      </c>
      <c r="C213" s="31">
        <f>B213</f>
        <v>0</v>
      </c>
      <c r="D213" s="6">
        <f>'Input'!B215*(1-B213)</f>
        <v>0</v>
      </c>
      <c r="E213" s="6">
        <f>'Input'!C215*(1-B213)</f>
        <v>0</v>
      </c>
      <c r="F213" s="6">
        <f>'Input'!D215*(1-B213)</f>
        <v>0</v>
      </c>
      <c r="G213" s="6">
        <f>'Input'!E215*(1-C213)</f>
        <v>0</v>
      </c>
      <c r="H213" s="6">
        <f>'Input'!F215*(1-B213)</f>
        <v>0</v>
      </c>
      <c r="I213" s="6">
        <f>'Input'!G215*(1-B213)</f>
        <v>0</v>
      </c>
      <c r="J213" s="10"/>
    </row>
    <row r="214" spans="1:10">
      <c r="A214" s="11" t="s">
        <v>251</v>
      </c>
      <c r="B214" s="29">
        <f>SUMPRODUCT($B107:$F107,'Input'!$B$152:$F$152)</f>
        <v>0</v>
      </c>
      <c r="C214" s="31">
        <f>B214</f>
        <v>0</v>
      </c>
      <c r="D214" s="6">
        <f>'Input'!B216*(1-B214)</f>
        <v>0</v>
      </c>
      <c r="E214" s="6">
        <f>'Input'!C216*(1-B214)</f>
        <v>0</v>
      </c>
      <c r="F214" s="6">
        <f>'Input'!D216*(1-B214)</f>
        <v>0</v>
      </c>
      <c r="G214" s="6">
        <f>'Input'!E216*(1-C214)</f>
        <v>0</v>
      </c>
      <c r="H214" s="6">
        <f>'Input'!F216*(1-B214)</f>
        <v>0</v>
      </c>
      <c r="I214" s="6">
        <f>'Input'!G216*(1-B214)</f>
        <v>0</v>
      </c>
      <c r="J214" s="10"/>
    </row>
    <row r="215" spans="1:10">
      <c r="A215" s="11" t="s">
        <v>252</v>
      </c>
      <c r="B215" s="29">
        <f>SUMPRODUCT($B108:$F108,'Input'!$B$152:$F$152)</f>
        <v>0</v>
      </c>
      <c r="C215" s="31">
        <f>B215</f>
        <v>0</v>
      </c>
      <c r="D215" s="6">
        <f>'Input'!B217*(1-B215)</f>
        <v>0</v>
      </c>
      <c r="E215" s="6">
        <f>'Input'!C217*(1-B215)</f>
        <v>0</v>
      </c>
      <c r="F215" s="6">
        <f>'Input'!D217*(1-B215)</f>
        <v>0</v>
      </c>
      <c r="G215" s="6">
        <f>'Input'!E217*(1-C215)</f>
        <v>0</v>
      </c>
      <c r="H215" s="6">
        <f>'Input'!F217*(1-B215)</f>
        <v>0</v>
      </c>
      <c r="I215" s="6">
        <f>'Input'!G217*(1-B215)</f>
        <v>0</v>
      </c>
      <c r="J215" s="10"/>
    </row>
    <row r="216" spans="1:10">
      <c r="A216" s="22" t="s">
        <v>253</v>
      </c>
      <c r="J216" s="10"/>
    </row>
    <row r="217" spans="1:10">
      <c r="A217" s="11" t="s">
        <v>179</v>
      </c>
      <c r="B217" s="29">
        <f>SUMPRODUCT($B110:$F110,'Input'!$B$152:$F$152)</f>
        <v>0</v>
      </c>
      <c r="C217" s="31">
        <f>B217</f>
        <v>0</v>
      </c>
      <c r="D217" s="6">
        <f>'Input'!B219*(1-B217)</f>
        <v>0</v>
      </c>
      <c r="E217" s="6">
        <f>'Input'!C219*(1-B217)</f>
        <v>0</v>
      </c>
      <c r="F217" s="6">
        <f>'Input'!D219*(1-B217)</f>
        <v>0</v>
      </c>
      <c r="G217" s="6">
        <f>'Input'!E219*(1-C217)</f>
        <v>0</v>
      </c>
      <c r="H217" s="6">
        <f>'Input'!F219*(1-B217)</f>
        <v>0</v>
      </c>
      <c r="I217" s="6">
        <f>'Input'!G219*(1-B217)</f>
        <v>0</v>
      </c>
      <c r="J217" s="10"/>
    </row>
    <row r="218" spans="1:10">
      <c r="A218" s="11" t="s">
        <v>254</v>
      </c>
      <c r="B218" s="29">
        <f>SUMPRODUCT($B111:$F111,'Input'!$B$152:$F$152)</f>
        <v>0</v>
      </c>
      <c r="C218" s="31">
        <f>B218</f>
        <v>0</v>
      </c>
      <c r="D218" s="6">
        <f>'Input'!B220*(1-B218)</f>
        <v>0</v>
      </c>
      <c r="E218" s="6">
        <f>'Input'!C220*(1-B218)</f>
        <v>0</v>
      </c>
      <c r="F218" s="6">
        <f>'Input'!D220*(1-B218)</f>
        <v>0</v>
      </c>
      <c r="G218" s="6">
        <f>'Input'!E220*(1-C218)</f>
        <v>0</v>
      </c>
      <c r="H218" s="6">
        <f>'Input'!F220*(1-B218)</f>
        <v>0</v>
      </c>
      <c r="I218" s="6">
        <f>'Input'!G220*(1-B218)</f>
        <v>0</v>
      </c>
      <c r="J218" s="10"/>
    </row>
    <row r="219" spans="1:10">
      <c r="A219" s="22" t="s">
        <v>255</v>
      </c>
      <c r="J219" s="10"/>
    </row>
    <row r="220" spans="1:10">
      <c r="A220" s="11" t="s">
        <v>192</v>
      </c>
      <c r="B220" s="29">
        <f>SUMPRODUCT($B113:$F113,'Input'!$B$152:$F$152)</f>
        <v>0</v>
      </c>
      <c r="C220" s="31">
        <f>B220</f>
        <v>0</v>
      </c>
      <c r="D220" s="6">
        <f>'Input'!B222*(1-B220)</f>
        <v>0</v>
      </c>
      <c r="E220" s="6">
        <f>'Input'!C222*(1-B220)</f>
        <v>0</v>
      </c>
      <c r="F220" s="6">
        <f>'Input'!D222*(1-B220)</f>
        <v>0</v>
      </c>
      <c r="G220" s="6">
        <f>'Input'!E222*(1-C220)</f>
        <v>0</v>
      </c>
      <c r="H220" s="6">
        <f>'Input'!F222*(1-B220)</f>
        <v>0</v>
      </c>
      <c r="I220" s="6">
        <f>'Input'!G222*(1-B220)</f>
        <v>0</v>
      </c>
      <c r="J220" s="10"/>
    </row>
    <row r="221" spans="1:10">
      <c r="A221" s="11" t="s">
        <v>256</v>
      </c>
      <c r="B221" s="29">
        <f>SUMPRODUCT($B114:$F114,'Input'!$B$152:$F$152)</f>
        <v>0</v>
      </c>
      <c r="C221" s="31">
        <f>B221</f>
        <v>0</v>
      </c>
      <c r="D221" s="6">
        <f>'Input'!B223*(1-B221)</f>
        <v>0</v>
      </c>
      <c r="E221" s="6">
        <f>'Input'!C223*(1-B221)</f>
        <v>0</v>
      </c>
      <c r="F221" s="6">
        <f>'Input'!D223*(1-B221)</f>
        <v>0</v>
      </c>
      <c r="G221" s="6">
        <f>'Input'!E223*(1-C221)</f>
        <v>0</v>
      </c>
      <c r="H221" s="6">
        <f>'Input'!F223*(1-B221)</f>
        <v>0</v>
      </c>
      <c r="I221" s="6">
        <f>'Input'!G223*(1-B221)</f>
        <v>0</v>
      </c>
      <c r="J221" s="10"/>
    </row>
    <row r="222" spans="1:10">
      <c r="A222" s="22" t="s">
        <v>257</v>
      </c>
      <c r="J222" s="10"/>
    </row>
    <row r="223" spans="1:10">
      <c r="A223" s="11" t="s">
        <v>212</v>
      </c>
      <c r="B223" s="29">
        <f>SUMPRODUCT($B116:$F116,'Input'!$B$152:$F$152)</f>
        <v>0</v>
      </c>
      <c r="C223" s="31">
        <f>B223</f>
        <v>0</v>
      </c>
      <c r="D223" s="6">
        <f>'Input'!B225*(1-B223)</f>
        <v>0</v>
      </c>
      <c r="E223" s="6">
        <f>'Input'!C225*(1-B223)</f>
        <v>0</v>
      </c>
      <c r="F223" s="6">
        <f>'Input'!D225*(1-B223)</f>
        <v>0</v>
      </c>
      <c r="G223" s="6">
        <f>'Input'!E225*(1-C223)</f>
        <v>0</v>
      </c>
      <c r="H223" s="6">
        <f>'Input'!F225*(1-B223)</f>
        <v>0</v>
      </c>
      <c r="I223" s="6">
        <f>'Input'!G225*(1-B223)</f>
        <v>0</v>
      </c>
      <c r="J223" s="10"/>
    </row>
    <row r="224" spans="1:10">
      <c r="A224" s="11" t="s">
        <v>258</v>
      </c>
      <c r="B224" s="29">
        <f>SUMPRODUCT($B117:$F117,'Input'!$B$152:$F$152)</f>
        <v>0</v>
      </c>
      <c r="C224" s="31">
        <f>B224</f>
        <v>0</v>
      </c>
      <c r="D224" s="6">
        <f>'Input'!B226*(1-B224)</f>
        <v>0</v>
      </c>
      <c r="E224" s="6">
        <f>'Input'!C226*(1-B224)</f>
        <v>0</v>
      </c>
      <c r="F224" s="6">
        <f>'Input'!D226*(1-B224)</f>
        <v>0</v>
      </c>
      <c r="G224" s="6">
        <f>'Input'!E226*(1-C224)</f>
        <v>0</v>
      </c>
      <c r="H224" s="6">
        <f>'Input'!F226*(1-B224)</f>
        <v>0</v>
      </c>
      <c r="I224" s="6">
        <f>'Input'!G226*(1-B224)</f>
        <v>0</v>
      </c>
      <c r="J224" s="10"/>
    </row>
    <row r="225" spans="1:10">
      <c r="A225" s="11" t="s">
        <v>259</v>
      </c>
      <c r="B225" s="29">
        <f>SUMPRODUCT($B118:$F118,'Input'!$B$152:$F$152)</f>
        <v>0</v>
      </c>
      <c r="C225" s="31">
        <f>B225</f>
        <v>0</v>
      </c>
      <c r="D225" s="6">
        <f>'Input'!B227*(1-B225)</f>
        <v>0</v>
      </c>
      <c r="E225" s="6">
        <f>'Input'!C227*(1-B225)</f>
        <v>0</v>
      </c>
      <c r="F225" s="6">
        <f>'Input'!D227*(1-B225)</f>
        <v>0</v>
      </c>
      <c r="G225" s="6">
        <f>'Input'!E227*(1-C225)</f>
        <v>0</v>
      </c>
      <c r="H225" s="6">
        <f>'Input'!F227*(1-B225)</f>
        <v>0</v>
      </c>
      <c r="I225" s="6">
        <f>'Input'!G227*(1-B225)</f>
        <v>0</v>
      </c>
      <c r="J225" s="10"/>
    </row>
    <row r="226" spans="1:10">
      <c r="A226" s="22" t="s">
        <v>260</v>
      </c>
      <c r="J226" s="10"/>
    </row>
    <row r="227" spans="1:10">
      <c r="A227" s="11" t="s">
        <v>213</v>
      </c>
      <c r="B227" s="29">
        <f>SUMPRODUCT($B120:$F120,'Input'!$B$152:$F$152)</f>
        <v>0</v>
      </c>
      <c r="C227" s="31">
        <f>B227</f>
        <v>0</v>
      </c>
      <c r="D227" s="6">
        <f>'Input'!B229*(1-B227)</f>
        <v>0</v>
      </c>
      <c r="E227" s="6">
        <f>'Input'!C229*(1-B227)</f>
        <v>0</v>
      </c>
      <c r="F227" s="6">
        <f>'Input'!D229*(1-B227)</f>
        <v>0</v>
      </c>
      <c r="G227" s="6">
        <f>'Input'!E229*(1-C227)</f>
        <v>0</v>
      </c>
      <c r="H227" s="6">
        <f>'Input'!F229*(1-B227)</f>
        <v>0</v>
      </c>
      <c r="I227" s="6">
        <f>'Input'!G229*(1-B227)</f>
        <v>0</v>
      </c>
      <c r="J227" s="10"/>
    </row>
    <row r="228" spans="1:10">
      <c r="A228" s="11" t="s">
        <v>261</v>
      </c>
      <c r="B228" s="29">
        <f>SUMPRODUCT($B121:$F121,'Input'!$B$152:$F$152)</f>
        <v>0</v>
      </c>
      <c r="C228" s="31">
        <f>B228</f>
        <v>0</v>
      </c>
      <c r="D228" s="6">
        <f>'Input'!B230*(1-B228)</f>
        <v>0</v>
      </c>
      <c r="E228" s="6">
        <f>'Input'!C230*(1-B228)</f>
        <v>0</v>
      </c>
      <c r="F228" s="6">
        <f>'Input'!D230*(1-B228)</f>
        <v>0</v>
      </c>
      <c r="G228" s="6">
        <f>'Input'!E230*(1-C228)</f>
        <v>0</v>
      </c>
      <c r="H228" s="6">
        <f>'Input'!F230*(1-B228)</f>
        <v>0</v>
      </c>
      <c r="I228" s="6">
        <f>'Input'!G230*(1-B228)</f>
        <v>0</v>
      </c>
      <c r="J228" s="10"/>
    </row>
    <row r="229" spans="1:10">
      <c r="A229" s="11" t="s">
        <v>262</v>
      </c>
      <c r="B229" s="29">
        <f>SUMPRODUCT($B122:$F122,'Input'!$B$152:$F$152)</f>
        <v>0</v>
      </c>
      <c r="C229" s="31">
        <f>B229</f>
        <v>0</v>
      </c>
      <c r="D229" s="6">
        <f>'Input'!B231*(1-B229)</f>
        <v>0</v>
      </c>
      <c r="E229" s="6">
        <f>'Input'!C231*(1-B229)</f>
        <v>0</v>
      </c>
      <c r="F229" s="6">
        <f>'Input'!D231*(1-B229)</f>
        <v>0</v>
      </c>
      <c r="G229" s="6">
        <f>'Input'!E231*(1-C229)</f>
        <v>0</v>
      </c>
      <c r="H229" s="6">
        <f>'Input'!F231*(1-B229)</f>
        <v>0</v>
      </c>
      <c r="I229" s="6">
        <f>'Input'!G231*(1-B229)</f>
        <v>0</v>
      </c>
      <c r="J229" s="10"/>
    </row>
    <row r="230" spans="1:10">
      <c r="A230" s="22" t="s">
        <v>263</v>
      </c>
      <c r="J230" s="10"/>
    </row>
    <row r="231" spans="1:10">
      <c r="A231" s="11" t="s">
        <v>214</v>
      </c>
      <c r="B231" s="29">
        <f>SUMPRODUCT($B124:$F124,'Input'!$B$152:$F$152)</f>
        <v>0</v>
      </c>
      <c r="C231" s="31">
        <f>B231</f>
        <v>0</v>
      </c>
      <c r="D231" s="6">
        <f>'Input'!B233*(1-B231)</f>
        <v>0</v>
      </c>
      <c r="E231" s="6">
        <f>'Input'!C233*(1-B231)</f>
        <v>0</v>
      </c>
      <c r="F231" s="6">
        <f>'Input'!D233*(1-B231)</f>
        <v>0</v>
      </c>
      <c r="G231" s="6">
        <f>'Input'!E233*(1-C231)</f>
        <v>0</v>
      </c>
      <c r="H231" s="6">
        <f>'Input'!F233*(1-B231)</f>
        <v>0</v>
      </c>
      <c r="I231" s="6">
        <f>'Input'!G233*(1-B231)</f>
        <v>0</v>
      </c>
      <c r="J231" s="10"/>
    </row>
    <row r="232" spans="1:10">
      <c r="A232" s="11" t="s">
        <v>264</v>
      </c>
      <c r="B232" s="29">
        <f>SUMPRODUCT($B125:$F125,'Input'!$B$152:$F$152)</f>
        <v>0</v>
      </c>
      <c r="C232" s="31">
        <f>B232</f>
        <v>0</v>
      </c>
      <c r="D232" s="6">
        <f>'Input'!B234*(1-B232)</f>
        <v>0</v>
      </c>
      <c r="E232" s="6">
        <f>'Input'!C234*(1-B232)</f>
        <v>0</v>
      </c>
      <c r="F232" s="6">
        <f>'Input'!D234*(1-B232)</f>
        <v>0</v>
      </c>
      <c r="G232" s="6">
        <f>'Input'!E234*(1-C232)</f>
        <v>0</v>
      </c>
      <c r="H232" s="6">
        <f>'Input'!F234*(1-B232)</f>
        <v>0</v>
      </c>
      <c r="I232" s="6">
        <f>'Input'!G234*(1-B232)</f>
        <v>0</v>
      </c>
      <c r="J232" s="10"/>
    </row>
    <row r="233" spans="1:10">
      <c r="A233" s="11" t="s">
        <v>265</v>
      </c>
      <c r="B233" s="29">
        <f>SUMPRODUCT($B126:$F126,'Input'!$B$152:$F$152)</f>
        <v>0</v>
      </c>
      <c r="C233" s="31">
        <f>B233</f>
        <v>0</v>
      </c>
      <c r="D233" s="6">
        <f>'Input'!B235*(1-B233)</f>
        <v>0</v>
      </c>
      <c r="E233" s="6">
        <f>'Input'!C235*(1-B233)</f>
        <v>0</v>
      </c>
      <c r="F233" s="6">
        <f>'Input'!D235*(1-B233)</f>
        <v>0</v>
      </c>
      <c r="G233" s="6">
        <f>'Input'!E235*(1-C233)</f>
        <v>0</v>
      </c>
      <c r="H233" s="6">
        <f>'Input'!F235*(1-B233)</f>
        <v>0</v>
      </c>
      <c r="I233" s="6">
        <f>'Input'!G235*(1-B233)</f>
        <v>0</v>
      </c>
      <c r="J233" s="10"/>
    </row>
    <row r="234" spans="1:10">
      <c r="A234" s="22" t="s">
        <v>266</v>
      </c>
      <c r="J234" s="10"/>
    </row>
    <row r="235" spans="1:10">
      <c r="A235" s="11" t="s">
        <v>215</v>
      </c>
      <c r="B235" s="29">
        <f>SUMPRODUCT($B128:$F128,'Input'!$B$152:$F$152)</f>
        <v>0</v>
      </c>
      <c r="C235" s="31">
        <f>B235</f>
        <v>0</v>
      </c>
      <c r="D235" s="6">
        <f>'Input'!B237*(1-B235)</f>
        <v>0</v>
      </c>
      <c r="E235" s="6">
        <f>'Input'!C237*(1-B235)</f>
        <v>0</v>
      </c>
      <c r="F235" s="6">
        <f>'Input'!D237*(1-B235)</f>
        <v>0</v>
      </c>
      <c r="G235" s="6">
        <f>'Input'!E237*(1-C235)</f>
        <v>0</v>
      </c>
      <c r="H235" s="6">
        <f>'Input'!F237*(1-B235)</f>
        <v>0</v>
      </c>
      <c r="I235" s="6">
        <f>'Input'!G237*(1-B235)</f>
        <v>0</v>
      </c>
      <c r="J235" s="10"/>
    </row>
    <row r="236" spans="1:10">
      <c r="A236" s="11" t="s">
        <v>267</v>
      </c>
      <c r="B236" s="29">
        <f>SUMPRODUCT($B129:$F129,'Input'!$B$152:$F$152)</f>
        <v>0</v>
      </c>
      <c r="C236" s="31">
        <f>B236</f>
        <v>0</v>
      </c>
      <c r="D236" s="6">
        <f>'Input'!B238*(1-B236)</f>
        <v>0</v>
      </c>
      <c r="E236" s="6">
        <f>'Input'!C238*(1-B236)</f>
        <v>0</v>
      </c>
      <c r="F236" s="6">
        <f>'Input'!D238*(1-B236)</f>
        <v>0</v>
      </c>
      <c r="G236" s="6">
        <f>'Input'!E238*(1-C236)</f>
        <v>0</v>
      </c>
      <c r="H236" s="6">
        <f>'Input'!F238*(1-B236)</f>
        <v>0</v>
      </c>
      <c r="I236" s="6">
        <f>'Input'!G238*(1-B236)</f>
        <v>0</v>
      </c>
      <c r="J236" s="10"/>
    </row>
    <row r="237" spans="1:10">
      <c r="A237" s="11" t="s">
        <v>268</v>
      </c>
      <c r="B237" s="29">
        <f>SUMPRODUCT($B130:$F130,'Input'!$B$152:$F$152)</f>
        <v>0</v>
      </c>
      <c r="C237" s="31">
        <f>B237</f>
        <v>0</v>
      </c>
      <c r="D237" s="6">
        <f>'Input'!B239*(1-B237)</f>
        <v>0</v>
      </c>
      <c r="E237" s="6">
        <f>'Input'!C239*(1-B237)</f>
        <v>0</v>
      </c>
      <c r="F237" s="6">
        <f>'Input'!D239*(1-B237)</f>
        <v>0</v>
      </c>
      <c r="G237" s="6">
        <f>'Input'!E239*(1-C237)</f>
        <v>0</v>
      </c>
      <c r="H237" s="6">
        <f>'Input'!F239*(1-B237)</f>
        <v>0</v>
      </c>
      <c r="I237" s="6">
        <f>'Input'!G239*(1-B237)</f>
        <v>0</v>
      </c>
      <c r="J237" s="10"/>
    </row>
    <row r="238" spans="1:10">
      <c r="A238" s="22" t="s">
        <v>269</v>
      </c>
      <c r="J238" s="10"/>
    </row>
    <row r="239" spans="1:10">
      <c r="A239" s="11" t="s">
        <v>216</v>
      </c>
      <c r="B239" s="29">
        <f>SUMPRODUCT($B132:$F132,'Input'!$B$152:$F$152)</f>
        <v>0</v>
      </c>
      <c r="C239" s="31">
        <f>B239</f>
        <v>0</v>
      </c>
      <c r="D239" s="6">
        <f>'Input'!B241*(1-B239)</f>
        <v>0</v>
      </c>
      <c r="E239" s="6">
        <f>'Input'!C241*(1-B239)</f>
        <v>0</v>
      </c>
      <c r="F239" s="6">
        <f>'Input'!D241*(1-B239)</f>
        <v>0</v>
      </c>
      <c r="G239" s="6">
        <f>'Input'!E241*(1-C239)</f>
        <v>0</v>
      </c>
      <c r="H239" s="6">
        <f>'Input'!F241*(1-B239)</f>
        <v>0</v>
      </c>
      <c r="I239" s="6">
        <f>'Input'!G241*(1-B239)</f>
        <v>0</v>
      </c>
      <c r="J239" s="10"/>
    </row>
    <row r="240" spans="1:10">
      <c r="A240" s="11" t="s">
        <v>270</v>
      </c>
      <c r="B240" s="29">
        <f>SUMPRODUCT($B133:$F133,'Input'!$B$152:$F$152)</f>
        <v>0</v>
      </c>
      <c r="C240" s="31">
        <f>B240</f>
        <v>0</v>
      </c>
      <c r="D240" s="6">
        <f>'Input'!B242*(1-B240)</f>
        <v>0</v>
      </c>
      <c r="E240" s="6">
        <f>'Input'!C242*(1-B240)</f>
        <v>0</v>
      </c>
      <c r="F240" s="6">
        <f>'Input'!D242*(1-B240)</f>
        <v>0</v>
      </c>
      <c r="G240" s="6">
        <f>'Input'!E242*(1-C240)</f>
        <v>0</v>
      </c>
      <c r="H240" s="6">
        <f>'Input'!F242*(1-B240)</f>
        <v>0</v>
      </c>
      <c r="I240" s="6">
        <f>'Input'!G242*(1-B240)</f>
        <v>0</v>
      </c>
      <c r="J240" s="10"/>
    </row>
    <row r="241" spans="1:10">
      <c r="A241" s="11" t="s">
        <v>271</v>
      </c>
      <c r="B241" s="29">
        <f>SUMPRODUCT($B134:$F134,'Input'!$B$152:$F$152)</f>
        <v>0</v>
      </c>
      <c r="C241" s="31">
        <f>B241</f>
        <v>0</v>
      </c>
      <c r="D241" s="6">
        <f>'Input'!B243*(1-B241)</f>
        <v>0</v>
      </c>
      <c r="E241" s="6">
        <f>'Input'!C243*(1-B241)</f>
        <v>0</v>
      </c>
      <c r="F241" s="6">
        <f>'Input'!D243*(1-B241)</f>
        <v>0</v>
      </c>
      <c r="G241" s="6">
        <f>'Input'!E243*(1-C241)</f>
        <v>0</v>
      </c>
      <c r="H241" s="6">
        <f>'Input'!F243*(1-B241)</f>
        <v>0</v>
      </c>
      <c r="I241" s="6">
        <f>'Input'!G243*(1-B241)</f>
        <v>0</v>
      </c>
      <c r="J241" s="10"/>
    </row>
    <row r="242" spans="1:10">
      <c r="A242" s="22" t="s">
        <v>272</v>
      </c>
      <c r="J242" s="10"/>
    </row>
    <row r="243" spans="1:10">
      <c r="A243" s="11" t="s">
        <v>180</v>
      </c>
      <c r="B243" s="29">
        <f>SUMPRODUCT($B136:$F136,'Input'!$B$152:$F$152)</f>
        <v>0</v>
      </c>
      <c r="C243" s="31">
        <f>B243</f>
        <v>0</v>
      </c>
      <c r="D243" s="6">
        <f>'Input'!B245*(1-B243)</f>
        <v>0</v>
      </c>
      <c r="E243" s="6">
        <f>'Input'!C245*(1-B243)</f>
        <v>0</v>
      </c>
      <c r="F243" s="6">
        <f>'Input'!D245*(1-B243)</f>
        <v>0</v>
      </c>
      <c r="G243" s="6">
        <f>'Input'!E245*(1-C243)</f>
        <v>0</v>
      </c>
      <c r="H243" s="6">
        <f>'Input'!F245*(1-B243)</f>
        <v>0</v>
      </c>
      <c r="I243" s="6">
        <f>'Input'!G245*(1-B243)</f>
        <v>0</v>
      </c>
      <c r="J243" s="10"/>
    </row>
    <row r="244" spans="1:10">
      <c r="A244" s="11" t="s">
        <v>273</v>
      </c>
      <c r="B244" s="29">
        <f>SUMPRODUCT($B137:$F137,'Input'!$B$152:$F$152)</f>
        <v>0</v>
      </c>
      <c r="C244" s="30">
        <v>1</v>
      </c>
      <c r="D244" s="6">
        <f>'Input'!B246*(1-B244)</f>
        <v>0</v>
      </c>
      <c r="E244" s="6">
        <f>'Input'!C246*(1-B244)</f>
        <v>0</v>
      </c>
      <c r="F244" s="6">
        <f>'Input'!D246*(1-B244)</f>
        <v>0</v>
      </c>
      <c r="G244" s="6">
        <f>'Input'!E246*(1-C244)</f>
        <v>0</v>
      </c>
      <c r="H244" s="6">
        <f>'Input'!F246*(1-B244)</f>
        <v>0</v>
      </c>
      <c r="I244" s="6">
        <f>'Input'!G246*(1-B244)</f>
        <v>0</v>
      </c>
      <c r="J244" s="10"/>
    </row>
    <row r="245" spans="1:10">
      <c r="A245" s="11" t="s">
        <v>274</v>
      </c>
      <c r="B245" s="29">
        <f>SUMPRODUCT($B138:$F138,'Input'!$B$152:$F$152)</f>
        <v>0</v>
      </c>
      <c r="C245" s="30">
        <v>1</v>
      </c>
      <c r="D245" s="6">
        <f>'Input'!B247*(1-B245)</f>
        <v>0</v>
      </c>
      <c r="E245" s="6">
        <f>'Input'!C247*(1-B245)</f>
        <v>0</v>
      </c>
      <c r="F245" s="6">
        <f>'Input'!D247*(1-B245)</f>
        <v>0</v>
      </c>
      <c r="G245" s="6">
        <f>'Input'!E247*(1-C245)</f>
        <v>0</v>
      </c>
      <c r="H245" s="6">
        <f>'Input'!F247*(1-B245)</f>
        <v>0</v>
      </c>
      <c r="I245" s="6">
        <f>'Input'!G247*(1-B245)</f>
        <v>0</v>
      </c>
      <c r="J245" s="10"/>
    </row>
    <row r="246" spans="1:10">
      <c r="A246" s="22" t="s">
        <v>275</v>
      </c>
      <c r="J246" s="10"/>
    </row>
    <row r="247" spans="1:10">
      <c r="A247" s="11" t="s">
        <v>181</v>
      </c>
      <c r="B247" s="29">
        <f>SUMPRODUCT($B140:$F140,'Input'!$B$152:$F$152)</f>
        <v>0</v>
      </c>
      <c r="C247" s="31">
        <f>B247</f>
        <v>0</v>
      </c>
      <c r="D247" s="6">
        <f>'Input'!B249*(1-B247)</f>
        <v>0</v>
      </c>
      <c r="E247" s="6">
        <f>'Input'!C249*(1-B247)</f>
        <v>0</v>
      </c>
      <c r="F247" s="6">
        <f>'Input'!D249*(1-B247)</f>
        <v>0</v>
      </c>
      <c r="G247" s="6">
        <f>'Input'!E249*(1-C247)</f>
        <v>0</v>
      </c>
      <c r="H247" s="6">
        <f>'Input'!F249*(1-B247)</f>
        <v>0</v>
      </c>
      <c r="I247" s="6">
        <f>'Input'!G249*(1-B247)</f>
        <v>0</v>
      </c>
      <c r="J247" s="10"/>
    </row>
    <row r="248" spans="1:10">
      <c r="A248" s="11" t="s">
        <v>276</v>
      </c>
      <c r="B248" s="29">
        <f>SUMPRODUCT($B141:$F141,'Input'!$B$152:$F$152)</f>
        <v>0</v>
      </c>
      <c r="C248" s="30">
        <v>1</v>
      </c>
      <c r="D248" s="6">
        <f>'Input'!B250*(1-B248)</f>
        <v>0</v>
      </c>
      <c r="E248" s="6">
        <f>'Input'!C250*(1-B248)</f>
        <v>0</v>
      </c>
      <c r="F248" s="6">
        <f>'Input'!D250*(1-B248)</f>
        <v>0</v>
      </c>
      <c r="G248" s="6">
        <f>'Input'!E250*(1-C248)</f>
        <v>0</v>
      </c>
      <c r="H248" s="6">
        <f>'Input'!F250*(1-B248)</f>
        <v>0</v>
      </c>
      <c r="I248" s="6">
        <f>'Input'!G250*(1-B248)</f>
        <v>0</v>
      </c>
      <c r="J248" s="10"/>
    </row>
    <row r="249" spans="1:10">
      <c r="A249" s="22" t="s">
        <v>277</v>
      </c>
      <c r="J249" s="10"/>
    </row>
    <row r="250" spans="1:10">
      <c r="A250" s="11" t="s">
        <v>182</v>
      </c>
      <c r="B250" s="29">
        <f>SUMPRODUCT($B143:$F143,'Input'!$B$152:$F$152)</f>
        <v>0</v>
      </c>
      <c r="C250" s="31">
        <f>B250</f>
        <v>0</v>
      </c>
      <c r="D250" s="6">
        <f>'Input'!B252*(1-B250)</f>
        <v>0</v>
      </c>
      <c r="E250" s="6">
        <f>'Input'!C252*(1-B250)</f>
        <v>0</v>
      </c>
      <c r="F250" s="6">
        <f>'Input'!D252*(1-B250)</f>
        <v>0</v>
      </c>
      <c r="G250" s="6">
        <f>'Input'!E252*(1-C250)</f>
        <v>0</v>
      </c>
      <c r="H250" s="6">
        <f>'Input'!F252*(1-B250)</f>
        <v>0</v>
      </c>
      <c r="I250" s="6">
        <f>'Input'!G252*(1-B250)</f>
        <v>0</v>
      </c>
      <c r="J250" s="10"/>
    </row>
    <row r="251" spans="1:10">
      <c r="A251" s="11" t="s">
        <v>278</v>
      </c>
      <c r="B251" s="29">
        <f>SUMPRODUCT($B144:$F144,'Input'!$B$152:$F$152)</f>
        <v>0</v>
      </c>
      <c r="C251" s="30">
        <v>1</v>
      </c>
      <c r="D251" s="6">
        <f>'Input'!B253*(1-B251)</f>
        <v>0</v>
      </c>
      <c r="E251" s="6">
        <f>'Input'!C253*(1-B251)</f>
        <v>0</v>
      </c>
      <c r="F251" s="6">
        <f>'Input'!D253*(1-B251)</f>
        <v>0</v>
      </c>
      <c r="G251" s="6">
        <f>'Input'!E253*(1-C251)</f>
        <v>0</v>
      </c>
      <c r="H251" s="6">
        <f>'Input'!F253*(1-B251)</f>
        <v>0</v>
      </c>
      <c r="I251" s="6">
        <f>'Input'!G253*(1-B251)</f>
        <v>0</v>
      </c>
      <c r="J251" s="10"/>
    </row>
    <row r="252" spans="1:10">
      <c r="A252" s="11" t="s">
        <v>279</v>
      </c>
      <c r="B252" s="29">
        <f>SUMPRODUCT($B145:$F145,'Input'!$B$152:$F$152)</f>
        <v>0</v>
      </c>
      <c r="C252" s="30">
        <v>1</v>
      </c>
      <c r="D252" s="6">
        <f>'Input'!B254*(1-B252)</f>
        <v>0</v>
      </c>
      <c r="E252" s="6">
        <f>'Input'!C254*(1-B252)</f>
        <v>0</v>
      </c>
      <c r="F252" s="6">
        <f>'Input'!D254*(1-B252)</f>
        <v>0</v>
      </c>
      <c r="G252" s="6">
        <f>'Input'!E254*(1-C252)</f>
        <v>0</v>
      </c>
      <c r="H252" s="6">
        <f>'Input'!F254*(1-B252)</f>
        <v>0</v>
      </c>
      <c r="I252" s="6">
        <f>'Input'!G254*(1-B252)</f>
        <v>0</v>
      </c>
      <c r="J252" s="10"/>
    </row>
    <row r="253" spans="1:10">
      <c r="A253" s="22" t="s">
        <v>280</v>
      </c>
      <c r="J253" s="10"/>
    </row>
    <row r="254" spans="1:10">
      <c r="A254" s="11" t="s">
        <v>183</v>
      </c>
      <c r="B254" s="29">
        <f>SUMPRODUCT($B147:$F147,'Input'!$B$152:$F$152)</f>
        <v>0</v>
      </c>
      <c r="C254" s="31">
        <f>B254</f>
        <v>0</v>
      </c>
      <c r="D254" s="6">
        <f>'Input'!B256*(1-B254)</f>
        <v>0</v>
      </c>
      <c r="E254" s="6">
        <f>'Input'!C256*(1-B254)</f>
        <v>0</v>
      </c>
      <c r="F254" s="6">
        <f>'Input'!D256*(1-B254)</f>
        <v>0</v>
      </c>
      <c r="G254" s="6">
        <f>'Input'!E256*(1-C254)</f>
        <v>0</v>
      </c>
      <c r="H254" s="6">
        <f>'Input'!F256*(1-B254)</f>
        <v>0</v>
      </c>
      <c r="I254" s="6">
        <f>'Input'!G256*(1-B254)</f>
        <v>0</v>
      </c>
      <c r="J254" s="10"/>
    </row>
    <row r="255" spans="1:10">
      <c r="A255" s="11" t="s">
        <v>281</v>
      </c>
      <c r="B255" s="29">
        <f>SUMPRODUCT($B148:$F148,'Input'!$B$152:$F$152)</f>
        <v>0</v>
      </c>
      <c r="C255" s="30">
        <v>1</v>
      </c>
      <c r="D255" s="6">
        <f>'Input'!B257*(1-B255)</f>
        <v>0</v>
      </c>
      <c r="E255" s="6">
        <f>'Input'!C257*(1-B255)</f>
        <v>0</v>
      </c>
      <c r="F255" s="6">
        <f>'Input'!D257*(1-B255)</f>
        <v>0</v>
      </c>
      <c r="G255" s="6">
        <f>'Input'!E257*(1-C255)</f>
        <v>0</v>
      </c>
      <c r="H255" s="6">
        <f>'Input'!F257*(1-B255)</f>
        <v>0</v>
      </c>
      <c r="I255" s="6">
        <f>'Input'!G257*(1-B255)</f>
        <v>0</v>
      </c>
      <c r="J255" s="10"/>
    </row>
    <row r="256" spans="1:10">
      <c r="A256" s="11" t="s">
        <v>282</v>
      </c>
      <c r="B256" s="29">
        <f>SUMPRODUCT($B149:$F149,'Input'!$B$152:$F$152)</f>
        <v>0</v>
      </c>
      <c r="C256" s="30">
        <v>1</v>
      </c>
      <c r="D256" s="6">
        <f>'Input'!B258*(1-B256)</f>
        <v>0</v>
      </c>
      <c r="E256" s="6">
        <f>'Input'!C258*(1-B256)</f>
        <v>0</v>
      </c>
      <c r="F256" s="6">
        <f>'Input'!D258*(1-B256)</f>
        <v>0</v>
      </c>
      <c r="G256" s="6">
        <f>'Input'!E258*(1-C256)</f>
        <v>0</v>
      </c>
      <c r="H256" s="6">
        <f>'Input'!F258*(1-B256)</f>
        <v>0</v>
      </c>
      <c r="I256" s="6">
        <f>'Input'!G258*(1-B256)</f>
        <v>0</v>
      </c>
      <c r="J256" s="10"/>
    </row>
    <row r="257" spans="1:10">
      <c r="A257" s="22" t="s">
        <v>283</v>
      </c>
      <c r="J257" s="10"/>
    </row>
    <row r="258" spans="1:10">
      <c r="A258" s="11" t="s">
        <v>184</v>
      </c>
      <c r="B258" s="29">
        <f>SUMPRODUCT($B151:$F151,'Input'!$B$152:$F$152)</f>
        <v>0</v>
      </c>
      <c r="C258" s="31">
        <f>B258</f>
        <v>0</v>
      </c>
      <c r="D258" s="6">
        <f>'Input'!B260*(1-B258)</f>
        <v>0</v>
      </c>
      <c r="E258" s="6">
        <f>'Input'!C260*(1-B258)</f>
        <v>0</v>
      </c>
      <c r="F258" s="6">
        <f>'Input'!D260*(1-B258)</f>
        <v>0</v>
      </c>
      <c r="G258" s="6">
        <f>'Input'!E260*(1-C258)</f>
        <v>0</v>
      </c>
      <c r="H258" s="6">
        <f>'Input'!F260*(1-B258)</f>
        <v>0</v>
      </c>
      <c r="I258" s="6">
        <f>'Input'!G260*(1-B258)</f>
        <v>0</v>
      </c>
      <c r="J258" s="10"/>
    </row>
    <row r="259" spans="1:10">
      <c r="A259" s="11" t="s">
        <v>284</v>
      </c>
      <c r="B259" s="29">
        <f>SUMPRODUCT($B152:$F152,'Input'!$B$152:$F$152)</f>
        <v>0</v>
      </c>
      <c r="C259" s="30">
        <v>1</v>
      </c>
      <c r="D259" s="6">
        <f>'Input'!B261*(1-B259)</f>
        <v>0</v>
      </c>
      <c r="E259" s="6">
        <f>'Input'!C261*(1-B259)</f>
        <v>0</v>
      </c>
      <c r="F259" s="6">
        <f>'Input'!D261*(1-B259)</f>
        <v>0</v>
      </c>
      <c r="G259" s="6">
        <f>'Input'!E261*(1-C259)</f>
        <v>0</v>
      </c>
      <c r="H259" s="6">
        <f>'Input'!F261*(1-B259)</f>
        <v>0</v>
      </c>
      <c r="I259" s="6">
        <f>'Input'!G261*(1-B259)</f>
        <v>0</v>
      </c>
      <c r="J259" s="10"/>
    </row>
    <row r="260" spans="1:10">
      <c r="A260" s="22" t="s">
        <v>285</v>
      </c>
      <c r="J260" s="10"/>
    </row>
    <row r="261" spans="1:10">
      <c r="A261" s="11" t="s">
        <v>185</v>
      </c>
      <c r="B261" s="29">
        <f>SUMPRODUCT($B154:$F154,'Input'!$B$152:$F$152)</f>
        <v>0</v>
      </c>
      <c r="C261" s="31">
        <f>B261</f>
        <v>0</v>
      </c>
      <c r="D261" s="6">
        <f>'Input'!B263*(1-B261)</f>
        <v>0</v>
      </c>
      <c r="E261" s="6">
        <f>'Input'!C263*(1-B261)</f>
        <v>0</v>
      </c>
      <c r="F261" s="6">
        <f>'Input'!D263*(1-B261)</f>
        <v>0</v>
      </c>
      <c r="G261" s="6">
        <f>'Input'!E263*(1-C261)</f>
        <v>0</v>
      </c>
      <c r="H261" s="6">
        <f>'Input'!F263*(1-B261)</f>
        <v>0</v>
      </c>
      <c r="I261" s="6">
        <f>'Input'!G263*(1-B261)</f>
        <v>0</v>
      </c>
      <c r="J261" s="10"/>
    </row>
    <row r="262" spans="1:10">
      <c r="A262" s="11" t="s">
        <v>286</v>
      </c>
      <c r="B262" s="29">
        <f>SUMPRODUCT($B155:$F155,'Input'!$B$152:$F$152)</f>
        <v>0</v>
      </c>
      <c r="C262" s="30">
        <v>1</v>
      </c>
      <c r="D262" s="6">
        <f>'Input'!B264*(1-B262)</f>
        <v>0</v>
      </c>
      <c r="E262" s="6">
        <f>'Input'!C264*(1-B262)</f>
        <v>0</v>
      </c>
      <c r="F262" s="6">
        <f>'Input'!D264*(1-B262)</f>
        <v>0</v>
      </c>
      <c r="G262" s="6">
        <f>'Input'!E264*(1-C262)</f>
        <v>0</v>
      </c>
      <c r="H262" s="6">
        <f>'Input'!F264*(1-B262)</f>
        <v>0</v>
      </c>
      <c r="I262" s="6">
        <f>'Input'!G264*(1-B262)</f>
        <v>0</v>
      </c>
      <c r="J262" s="10"/>
    </row>
    <row r="263" spans="1:10">
      <c r="A263" s="22" t="s">
        <v>287</v>
      </c>
      <c r="J263" s="10"/>
    </row>
    <row r="264" spans="1:10">
      <c r="A264" s="11" t="s">
        <v>193</v>
      </c>
      <c r="B264" s="29">
        <f>SUMPRODUCT($B157:$F157,'Input'!$B$152:$F$152)</f>
        <v>0</v>
      </c>
      <c r="C264" s="31">
        <f>B264</f>
        <v>0</v>
      </c>
      <c r="D264" s="6">
        <f>'Input'!B266*(1-B264)</f>
        <v>0</v>
      </c>
      <c r="E264" s="6">
        <f>'Input'!C266*(1-B264)</f>
        <v>0</v>
      </c>
      <c r="F264" s="6">
        <f>'Input'!D266*(1-B264)</f>
        <v>0</v>
      </c>
      <c r="G264" s="6">
        <f>'Input'!E266*(1-C264)</f>
        <v>0</v>
      </c>
      <c r="H264" s="6">
        <f>'Input'!F266*(1-B264)</f>
        <v>0</v>
      </c>
      <c r="I264" s="6">
        <f>'Input'!G266*(1-B264)</f>
        <v>0</v>
      </c>
      <c r="J264" s="10"/>
    </row>
    <row r="265" spans="1:10">
      <c r="A265" s="11" t="s">
        <v>288</v>
      </c>
      <c r="B265" s="29">
        <f>SUMPRODUCT($B158:$F158,'Input'!$B$152:$F$152)</f>
        <v>0</v>
      </c>
      <c r="C265" s="30">
        <v>1</v>
      </c>
      <c r="D265" s="6">
        <f>'Input'!B267*(1-B265)</f>
        <v>0</v>
      </c>
      <c r="E265" s="6">
        <f>'Input'!C267*(1-B265)</f>
        <v>0</v>
      </c>
      <c r="F265" s="6">
        <f>'Input'!D267*(1-B265)</f>
        <v>0</v>
      </c>
      <c r="G265" s="6">
        <f>'Input'!E267*(1-C265)</f>
        <v>0</v>
      </c>
      <c r="H265" s="6">
        <f>'Input'!F267*(1-B265)</f>
        <v>0</v>
      </c>
      <c r="I265" s="6">
        <f>'Input'!G267*(1-B265)</f>
        <v>0</v>
      </c>
      <c r="J265" s="10"/>
    </row>
    <row r="266" spans="1:10">
      <c r="A266" s="22" t="s">
        <v>289</v>
      </c>
      <c r="J266" s="10"/>
    </row>
    <row r="267" spans="1:10">
      <c r="A267" s="11" t="s">
        <v>194</v>
      </c>
      <c r="B267" s="29">
        <f>SUMPRODUCT($B160:$F160,'Input'!$B$152:$F$152)</f>
        <v>0</v>
      </c>
      <c r="C267" s="31">
        <f>B267</f>
        <v>0</v>
      </c>
      <c r="D267" s="6">
        <f>'Input'!B269*(1-B267)</f>
        <v>0</v>
      </c>
      <c r="E267" s="6">
        <f>'Input'!C269*(1-B267)</f>
        <v>0</v>
      </c>
      <c r="F267" s="6">
        <f>'Input'!D269*(1-B267)</f>
        <v>0</v>
      </c>
      <c r="G267" s="6">
        <f>'Input'!E269*(1-C267)</f>
        <v>0</v>
      </c>
      <c r="H267" s="6">
        <f>'Input'!F269*(1-B267)</f>
        <v>0</v>
      </c>
      <c r="I267" s="6">
        <f>'Input'!G269*(1-B267)</f>
        <v>0</v>
      </c>
      <c r="J267" s="10"/>
    </row>
    <row r="268" spans="1:10">
      <c r="A268" s="11" t="s">
        <v>290</v>
      </c>
      <c r="B268" s="29">
        <f>SUMPRODUCT($B161:$F161,'Input'!$B$152:$F$152)</f>
        <v>0</v>
      </c>
      <c r="C268" s="30">
        <v>1</v>
      </c>
      <c r="D268" s="6">
        <f>'Input'!B270*(1-B268)</f>
        <v>0</v>
      </c>
      <c r="E268" s="6">
        <f>'Input'!C270*(1-B268)</f>
        <v>0</v>
      </c>
      <c r="F268" s="6">
        <f>'Input'!D270*(1-B268)</f>
        <v>0</v>
      </c>
      <c r="G268" s="6">
        <f>'Input'!E270*(1-C268)</f>
        <v>0</v>
      </c>
      <c r="H268" s="6">
        <f>'Input'!F270*(1-B268)</f>
        <v>0</v>
      </c>
      <c r="I268" s="6">
        <f>'Input'!G270*(1-B268)</f>
        <v>0</v>
      </c>
      <c r="J268" s="10"/>
    </row>
    <row r="270" spans="1:10">
      <c r="A270" s="1" t="s">
        <v>526</v>
      </c>
    </row>
    <row r="271" spans="1:10">
      <c r="A271" s="2" t="s">
        <v>349</v>
      </c>
    </row>
    <row r="272" spans="1:10">
      <c r="A272" s="12" t="s">
        <v>527</v>
      </c>
    </row>
    <row r="273" spans="1:8">
      <c r="A273" s="12" t="s">
        <v>528</v>
      </c>
    </row>
    <row r="274" spans="1:8">
      <c r="A274" s="12" t="s">
        <v>529</v>
      </c>
    </row>
    <row r="275" spans="1:8">
      <c r="A275" s="12" t="s">
        <v>530</v>
      </c>
    </row>
    <row r="276" spans="1:8">
      <c r="A276" s="12" t="s">
        <v>531</v>
      </c>
    </row>
    <row r="277" spans="1:8">
      <c r="A277" s="12" t="s">
        <v>532</v>
      </c>
    </row>
    <row r="278" spans="1:8">
      <c r="A278" s="26" t="s">
        <v>352</v>
      </c>
      <c r="B278" s="26" t="s">
        <v>483</v>
      </c>
      <c r="C278" s="26" t="s">
        <v>483</v>
      </c>
      <c r="D278" s="26" t="s">
        <v>483</v>
      </c>
      <c r="E278" s="26" t="s">
        <v>483</v>
      </c>
      <c r="F278" s="26" t="s">
        <v>483</v>
      </c>
      <c r="G278" s="26" t="s">
        <v>483</v>
      </c>
    </row>
    <row r="279" spans="1:8">
      <c r="A279" s="26" t="s">
        <v>355</v>
      </c>
      <c r="B279" s="26" t="s">
        <v>533</v>
      </c>
      <c r="C279" s="26" t="s">
        <v>534</v>
      </c>
      <c r="D279" s="26" t="s">
        <v>535</v>
      </c>
      <c r="E279" s="26" t="s">
        <v>536</v>
      </c>
      <c r="F279" s="26" t="s">
        <v>485</v>
      </c>
      <c r="G279" s="26" t="s">
        <v>537</v>
      </c>
    </row>
    <row r="281" spans="1:8">
      <c r="B281" s="3" t="s">
        <v>221</v>
      </c>
      <c r="C281" s="3" t="s">
        <v>222</v>
      </c>
      <c r="D281" s="3" t="s">
        <v>223</v>
      </c>
      <c r="E281" s="3" t="s">
        <v>224</v>
      </c>
      <c r="F281" s="3" t="s">
        <v>225</v>
      </c>
      <c r="G281" s="3" t="s">
        <v>226</v>
      </c>
    </row>
    <row r="282" spans="1:8">
      <c r="A282" s="11" t="s">
        <v>172</v>
      </c>
      <c r="B282" s="17">
        <f>SUM(D$181:D$183)</f>
        <v>0</v>
      </c>
      <c r="C282" s="17">
        <f>SUM(E$181:E$183)</f>
        <v>0</v>
      </c>
      <c r="D282" s="17">
        <f>SUM(F$181:F$183)</f>
        <v>0</v>
      </c>
      <c r="E282" s="17">
        <f>SUM(G$181:G$183)</f>
        <v>0</v>
      </c>
      <c r="F282" s="17">
        <f>SUM(H$181:H$183)</f>
        <v>0</v>
      </c>
      <c r="G282" s="17">
        <f>SUM(I$181:I$183)</f>
        <v>0</v>
      </c>
      <c r="H282" s="10"/>
    </row>
    <row r="283" spans="1:8">
      <c r="A283" s="11" t="s">
        <v>173</v>
      </c>
      <c r="B283" s="17">
        <f>SUM(D$185:D$187)</f>
        <v>0</v>
      </c>
      <c r="C283" s="17">
        <f>SUM(E$185:E$187)</f>
        <v>0</v>
      </c>
      <c r="D283" s="17">
        <f>SUM(F$185:F$187)</f>
        <v>0</v>
      </c>
      <c r="E283" s="17">
        <f>SUM(G$185:G$187)</f>
        <v>0</v>
      </c>
      <c r="F283" s="17">
        <f>SUM(H$185:H$187)</f>
        <v>0</v>
      </c>
      <c r="G283" s="17">
        <f>SUM(I$185:I$187)</f>
        <v>0</v>
      </c>
      <c r="H283" s="10"/>
    </row>
    <row r="284" spans="1:8">
      <c r="A284" s="11" t="s">
        <v>210</v>
      </c>
      <c r="B284" s="17">
        <f>SUM(D$189:D$191)</f>
        <v>0</v>
      </c>
      <c r="C284" s="17">
        <f>SUM(E$189:E$191)</f>
        <v>0</v>
      </c>
      <c r="D284" s="17">
        <f>SUM(F$189:F$191)</f>
        <v>0</v>
      </c>
      <c r="E284" s="17">
        <f>SUM(G$189:G$191)</f>
        <v>0</v>
      </c>
      <c r="F284" s="17">
        <f>SUM(H$189:H$191)</f>
        <v>0</v>
      </c>
      <c r="G284" s="17">
        <f>SUM(I$189:I$191)</f>
        <v>0</v>
      </c>
      <c r="H284" s="10"/>
    </row>
    <row r="285" spans="1:8">
      <c r="A285" s="11" t="s">
        <v>174</v>
      </c>
      <c r="B285" s="17">
        <f>SUM(D$193:D$195)</f>
        <v>0</v>
      </c>
      <c r="C285" s="17">
        <f>SUM(E$193:E$195)</f>
        <v>0</v>
      </c>
      <c r="D285" s="17">
        <f>SUM(F$193:F$195)</f>
        <v>0</v>
      </c>
      <c r="E285" s="17">
        <f>SUM(G$193:G$195)</f>
        <v>0</v>
      </c>
      <c r="F285" s="17">
        <f>SUM(H$193:H$195)</f>
        <v>0</v>
      </c>
      <c r="G285" s="17">
        <f>SUM(I$193:I$195)</f>
        <v>0</v>
      </c>
      <c r="H285" s="10"/>
    </row>
    <row r="286" spans="1:8">
      <c r="A286" s="11" t="s">
        <v>175</v>
      </c>
      <c r="B286" s="17">
        <f>SUM(D$197:D$199)</f>
        <v>0</v>
      </c>
      <c r="C286" s="17">
        <f>SUM(E$197:E$199)</f>
        <v>0</v>
      </c>
      <c r="D286" s="17">
        <f>SUM(F$197:F$199)</f>
        <v>0</v>
      </c>
      <c r="E286" s="17">
        <f>SUM(G$197:G$199)</f>
        <v>0</v>
      </c>
      <c r="F286" s="17">
        <f>SUM(H$197:H$199)</f>
        <v>0</v>
      </c>
      <c r="G286" s="17">
        <f>SUM(I$197:I$199)</f>
        <v>0</v>
      </c>
      <c r="H286" s="10"/>
    </row>
    <row r="287" spans="1:8">
      <c r="A287" s="11" t="s">
        <v>211</v>
      </c>
      <c r="B287" s="17">
        <f>SUM(D$201:D$203)</f>
        <v>0</v>
      </c>
      <c r="C287" s="17">
        <f>SUM(E$201:E$203)</f>
        <v>0</v>
      </c>
      <c r="D287" s="17">
        <f>SUM(F$201:F$203)</f>
        <v>0</v>
      </c>
      <c r="E287" s="17">
        <f>SUM(G$201:G$203)</f>
        <v>0</v>
      </c>
      <c r="F287" s="17">
        <f>SUM(H$201:H$203)</f>
        <v>0</v>
      </c>
      <c r="G287" s="17">
        <f>SUM(I$201:I$203)</f>
        <v>0</v>
      </c>
      <c r="H287" s="10"/>
    </row>
    <row r="288" spans="1:8">
      <c r="A288" s="11" t="s">
        <v>176</v>
      </c>
      <c r="B288" s="17">
        <f>SUM(D$205:D$207)</f>
        <v>0</v>
      </c>
      <c r="C288" s="17">
        <f>SUM(E$205:E$207)</f>
        <v>0</v>
      </c>
      <c r="D288" s="17">
        <f>SUM(F$205:F$207)</f>
        <v>0</v>
      </c>
      <c r="E288" s="17">
        <f>SUM(G$205:G$207)</f>
        <v>0</v>
      </c>
      <c r="F288" s="17">
        <f>SUM(H$205:H$207)</f>
        <v>0</v>
      </c>
      <c r="G288" s="17">
        <f>SUM(I$205:I$207)</f>
        <v>0</v>
      </c>
      <c r="H288" s="10"/>
    </row>
    <row r="289" spans="1:8">
      <c r="A289" s="11" t="s">
        <v>177</v>
      </c>
      <c r="B289" s="17">
        <f>SUM(D$209:D$209)</f>
        <v>0</v>
      </c>
      <c r="C289" s="17">
        <f>SUM(E$209:E$209)</f>
        <v>0</v>
      </c>
      <c r="D289" s="17">
        <f>SUM(F$209:F$209)</f>
        <v>0</v>
      </c>
      <c r="E289" s="17">
        <f>SUM(G$209:G$209)</f>
        <v>0</v>
      </c>
      <c r="F289" s="17">
        <f>SUM(H$209:H$209)</f>
        <v>0</v>
      </c>
      <c r="G289" s="17">
        <f>SUM(I$209:I$209)</f>
        <v>0</v>
      </c>
      <c r="H289" s="10"/>
    </row>
    <row r="290" spans="1:8">
      <c r="A290" s="11" t="s">
        <v>191</v>
      </c>
      <c r="B290" s="17">
        <f>SUM(D$211:D$211)</f>
        <v>0</v>
      </c>
      <c r="C290" s="17">
        <f>SUM(E$211:E$211)</f>
        <v>0</v>
      </c>
      <c r="D290" s="17">
        <f>SUM(F$211:F$211)</f>
        <v>0</v>
      </c>
      <c r="E290" s="17">
        <f>SUM(G$211:G$211)</f>
        <v>0</v>
      </c>
      <c r="F290" s="17">
        <f>SUM(H$211:H$211)</f>
        <v>0</v>
      </c>
      <c r="G290" s="17">
        <f>SUM(I$211:I$211)</f>
        <v>0</v>
      </c>
      <c r="H290" s="10"/>
    </row>
    <row r="291" spans="1:8">
      <c r="A291" s="11" t="s">
        <v>178</v>
      </c>
      <c r="B291" s="17">
        <f>SUM(D$213:D$215)</f>
        <v>0</v>
      </c>
      <c r="C291" s="17">
        <f>SUM(E$213:E$215)</f>
        <v>0</v>
      </c>
      <c r="D291" s="17">
        <f>SUM(F$213:F$215)</f>
        <v>0</v>
      </c>
      <c r="E291" s="17">
        <f>SUM(G$213:G$215)</f>
        <v>0</v>
      </c>
      <c r="F291" s="17">
        <f>SUM(H$213:H$215)</f>
        <v>0</v>
      </c>
      <c r="G291" s="17">
        <f>SUM(I$213:I$215)</f>
        <v>0</v>
      </c>
      <c r="H291" s="10"/>
    </row>
    <row r="292" spans="1:8">
      <c r="A292" s="11" t="s">
        <v>179</v>
      </c>
      <c r="B292" s="17">
        <f>SUM(D$217:D$218)</f>
        <v>0</v>
      </c>
      <c r="C292" s="17">
        <f>SUM(E$217:E$218)</f>
        <v>0</v>
      </c>
      <c r="D292" s="17">
        <f>SUM(F$217:F$218)</f>
        <v>0</v>
      </c>
      <c r="E292" s="17">
        <f>SUM(G$217:G$218)</f>
        <v>0</v>
      </c>
      <c r="F292" s="17">
        <f>SUM(H$217:H$218)</f>
        <v>0</v>
      </c>
      <c r="G292" s="17">
        <f>SUM(I$217:I$218)</f>
        <v>0</v>
      </c>
      <c r="H292" s="10"/>
    </row>
    <row r="293" spans="1:8">
      <c r="A293" s="11" t="s">
        <v>192</v>
      </c>
      <c r="B293" s="17">
        <f>SUM(D$220:D$221)</f>
        <v>0</v>
      </c>
      <c r="C293" s="17">
        <f>SUM(E$220:E$221)</f>
        <v>0</v>
      </c>
      <c r="D293" s="17">
        <f>SUM(F$220:F$221)</f>
        <v>0</v>
      </c>
      <c r="E293" s="17">
        <f>SUM(G$220:G$221)</f>
        <v>0</v>
      </c>
      <c r="F293" s="17">
        <f>SUM(H$220:H$221)</f>
        <v>0</v>
      </c>
      <c r="G293" s="17">
        <f>SUM(I$220:I$221)</f>
        <v>0</v>
      </c>
      <c r="H293" s="10"/>
    </row>
    <row r="294" spans="1:8">
      <c r="A294" s="11" t="s">
        <v>212</v>
      </c>
      <c r="B294" s="17">
        <f>SUM(D$223:D$225)</f>
        <v>0</v>
      </c>
      <c r="C294" s="17">
        <f>SUM(E$223:E$225)</f>
        <v>0</v>
      </c>
      <c r="D294" s="17">
        <f>SUM(F$223:F$225)</f>
        <v>0</v>
      </c>
      <c r="E294" s="17">
        <f>SUM(G$223:G$225)</f>
        <v>0</v>
      </c>
      <c r="F294" s="17">
        <f>SUM(H$223:H$225)</f>
        <v>0</v>
      </c>
      <c r="G294" s="17">
        <f>SUM(I$223:I$225)</f>
        <v>0</v>
      </c>
      <c r="H294" s="10"/>
    </row>
    <row r="295" spans="1:8">
      <c r="A295" s="11" t="s">
        <v>213</v>
      </c>
      <c r="B295" s="17">
        <f>SUM(D$227:D$229)</f>
        <v>0</v>
      </c>
      <c r="C295" s="17">
        <f>SUM(E$227:E$229)</f>
        <v>0</v>
      </c>
      <c r="D295" s="17">
        <f>SUM(F$227:F$229)</f>
        <v>0</v>
      </c>
      <c r="E295" s="17">
        <f>SUM(G$227:G$229)</f>
        <v>0</v>
      </c>
      <c r="F295" s="17">
        <f>SUM(H$227:H$229)</f>
        <v>0</v>
      </c>
      <c r="G295" s="17">
        <f>SUM(I$227:I$229)</f>
        <v>0</v>
      </c>
      <c r="H295" s="10"/>
    </row>
    <row r="296" spans="1:8">
      <c r="A296" s="11" t="s">
        <v>214</v>
      </c>
      <c r="B296" s="17">
        <f>SUM(D$231:D$233)</f>
        <v>0</v>
      </c>
      <c r="C296" s="17">
        <f>SUM(E$231:E$233)</f>
        <v>0</v>
      </c>
      <c r="D296" s="17">
        <f>SUM(F$231:F$233)</f>
        <v>0</v>
      </c>
      <c r="E296" s="17">
        <f>SUM(G$231:G$233)</f>
        <v>0</v>
      </c>
      <c r="F296" s="17">
        <f>SUM(H$231:H$233)</f>
        <v>0</v>
      </c>
      <c r="G296" s="17">
        <f>SUM(I$231:I$233)</f>
        <v>0</v>
      </c>
      <c r="H296" s="10"/>
    </row>
    <row r="297" spans="1:8">
      <c r="A297" s="11" t="s">
        <v>215</v>
      </c>
      <c r="B297" s="17">
        <f>SUM(D$235:D$237)</f>
        <v>0</v>
      </c>
      <c r="C297" s="17">
        <f>SUM(E$235:E$237)</f>
        <v>0</v>
      </c>
      <c r="D297" s="17">
        <f>SUM(F$235:F$237)</f>
        <v>0</v>
      </c>
      <c r="E297" s="17">
        <f>SUM(G$235:G$237)</f>
        <v>0</v>
      </c>
      <c r="F297" s="17">
        <f>SUM(H$235:H$237)</f>
        <v>0</v>
      </c>
      <c r="G297" s="17">
        <f>SUM(I$235:I$237)</f>
        <v>0</v>
      </c>
      <c r="H297" s="10"/>
    </row>
    <row r="298" spans="1:8">
      <c r="A298" s="11" t="s">
        <v>216</v>
      </c>
      <c r="B298" s="17">
        <f>SUM(D$239:D$241)</f>
        <v>0</v>
      </c>
      <c r="C298" s="17">
        <f>SUM(E$239:E$241)</f>
        <v>0</v>
      </c>
      <c r="D298" s="17">
        <f>SUM(F$239:F$241)</f>
        <v>0</v>
      </c>
      <c r="E298" s="17">
        <f>SUM(G$239:G$241)</f>
        <v>0</v>
      </c>
      <c r="F298" s="17">
        <f>SUM(H$239:H$241)</f>
        <v>0</v>
      </c>
      <c r="G298" s="17">
        <f>SUM(I$239:I$241)</f>
        <v>0</v>
      </c>
      <c r="H298" s="10"/>
    </row>
    <row r="299" spans="1:8">
      <c r="A299" s="11" t="s">
        <v>180</v>
      </c>
      <c r="B299" s="17">
        <f>SUM(D$243:D$245)</f>
        <v>0</v>
      </c>
      <c r="C299" s="17">
        <f>SUM(E$243:E$245)</f>
        <v>0</v>
      </c>
      <c r="D299" s="17">
        <f>SUM(F$243:F$245)</f>
        <v>0</v>
      </c>
      <c r="E299" s="17">
        <f>SUM(G$243:G$245)</f>
        <v>0</v>
      </c>
      <c r="F299" s="17">
        <f>SUM(H$243:H$245)</f>
        <v>0</v>
      </c>
      <c r="G299" s="17">
        <f>SUM(I$243:I$245)</f>
        <v>0</v>
      </c>
      <c r="H299" s="10"/>
    </row>
    <row r="300" spans="1:8">
      <c r="A300" s="11" t="s">
        <v>181</v>
      </c>
      <c r="B300" s="17">
        <f>SUM(D$247:D$248)</f>
        <v>0</v>
      </c>
      <c r="C300" s="17">
        <f>SUM(E$247:E$248)</f>
        <v>0</v>
      </c>
      <c r="D300" s="17">
        <f>SUM(F$247:F$248)</f>
        <v>0</v>
      </c>
      <c r="E300" s="17">
        <f>SUM(G$247:G$248)</f>
        <v>0</v>
      </c>
      <c r="F300" s="17">
        <f>SUM(H$247:H$248)</f>
        <v>0</v>
      </c>
      <c r="G300" s="17">
        <f>SUM(I$247:I$248)</f>
        <v>0</v>
      </c>
      <c r="H300" s="10"/>
    </row>
    <row r="301" spans="1:8">
      <c r="A301" s="11" t="s">
        <v>182</v>
      </c>
      <c r="B301" s="17">
        <f>SUM(D$250:D$252)</f>
        <v>0</v>
      </c>
      <c r="C301" s="17">
        <f>SUM(E$250:E$252)</f>
        <v>0</v>
      </c>
      <c r="D301" s="17">
        <f>SUM(F$250:F$252)</f>
        <v>0</v>
      </c>
      <c r="E301" s="17">
        <f>SUM(G$250:G$252)</f>
        <v>0</v>
      </c>
      <c r="F301" s="17">
        <f>SUM(H$250:H$252)</f>
        <v>0</v>
      </c>
      <c r="G301" s="17">
        <f>SUM(I$250:I$252)</f>
        <v>0</v>
      </c>
      <c r="H301" s="10"/>
    </row>
    <row r="302" spans="1:8">
      <c r="A302" s="11" t="s">
        <v>183</v>
      </c>
      <c r="B302" s="17">
        <f>SUM(D$254:D$256)</f>
        <v>0</v>
      </c>
      <c r="C302" s="17">
        <f>SUM(E$254:E$256)</f>
        <v>0</v>
      </c>
      <c r="D302" s="17">
        <f>SUM(F$254:F$256)</f>
        <v>0</v>
      </c>
      <c r="E302" s="17">
        <f>SUM(G$254:G$256)</f>
        <v>0</v>
      </c>
      <c r="F302" s="17">
        <f>SUM(H$254:H$256)</f>
        <v>0</v>
      </c>
      <c r="G302" s="17">
        <f>SUM(I$254:I$256)</f>
        <v>0</v>
      </c>
      <c r="H302" s="10"/>
    </row>
    <row r="303" spans="1:8">
      <c r="A303" s="11" t="s">
        <v>184</v>
      </c>
      <c r="B303" s="17">
        <f>SUM(D$258:D$259)</f>
        <v>0</v>
      </c>
      <c r="C303" s="17">
        <f>SUM(E$258:E$259)</f>
        <v>0</v>
      </c>
      <c r="D303" s="17">
        <f>SUM(F$258:F$259)</f>
        <v>0</v>
      </c>
      <c r="E303" s="17">
        <f>SUM(G$258:G$259)</f>
        <v>0</v>
      </c>
      <c r="F303" s="17">
        <f>SUM(H$258:H$259)</f>
        <v>0</v>
      </c>
      <c r="G303" s="17">
        <f>SUM(I$258:I$259)</f>
        <v>0</v>
      </c>
      <c r="H303" s="10"/>
    </row>
    <row r="304" spans="1:8">
      <c r="A304" s="11" t="s">
        <v>185</v>
      </c>
      <c r="B304" s="17">
        <f>SUM(D$261:D$262)</f>
        <v>0</v>
      </c>
      <c r="C304" s="17">
        <f>SUM(E$261:E$262)</f>
        <v>0</v>
      </c>
      <c r="D304" s="17">
        <f>SUM(F$261:F$262)</f>
        <v>0</v>
      </c>
      <c r="E304" s="17">
        <f>SUM(G$261:G$262)</f>
        <v>0</v>
      </c>
      <c r="F304" s="17">
        <f>SUM(H$261:H$262)</f>
        <v>0</v>
      </c>
      <c r="G304" s="17">
        <f>SUM(I$261:I$262)</f>
        <v>0</v>
      </c>
      <c r="H304" s="10"/>
    </row>
    <row r="305" spans="1:8">
      <c r="A305" s="11" t="s">
        <v>193</v>
      </c>
      <c r="B305" s="17">
        <f>SUM(D$264:D$265)</f>
        <v>0</v>
      </c>
      <c r="C305" s="17">
        <f>SUM(E$264:E$265)</f>
        <v>0</v>
      </c>
      <c r="D305" s="17">
        <f>SUM(F$264:F$265)</f>
        <v>0</v>
      </c>
      <c r="E305" s="17">
        <f>SUM(G$264:G$265)</f>
        <v>0</v>
      </c>
      <c r="F305" s="17">
        <f>SUM(H$264:H$265)</f>
        <v>0</v>
      </c>
      <c r="G305" s="17">
        <f>SUM(I$264:I$265)</f>
        <v>0</v>
      </c>
      <c r="H305" s="10"/>
    </row>
    <row r="306" spans="1:8">
      <c r="A306" s="11" t="s">
        <v>194</v>
      </c>
      <c r="B306" s="17">
        <f>SUM(D$267:D$268)</f>
        <v>0</v>
      </c>
      <c r="C306" s="17">
        <f>SUM(E$267:E$268)</f>
        <v>0</v>
      </c>
      <c r="D306" s="17">
        <f>SUM(F$267:F$268)</f>
        <v>0</v>
      </c>
      <c r="E306" s="17">
        <f>SUM(G$267:G$268)</f>
        <v>0</v>
      </c>
      <c r="F306" s="17">
        <f>SUM(H$267:H$268)</f>
        <v>0</v>
      </c>
      <c r="G306" s="17">
        <f>SUM(I$267:I$268)</f>
        <v>0</v>
      </c>
      <c r="H306" s="10"/>
    </row>
  </sheetData>
  <sheetProtection sheet="1" objects="1" scenarios="1"/>
  <hyperlinks>
    <hyperlink ref="A14" location="'Input'!B157" display="x1 = 1041. Coincidence factor to system maximum load for each type of demand user (in Load profile data for demand users)"/>
    <hyperlink ref="A15" location="'Input'!C157" display="x2 = 1041. Load factor for each type of demand user (in Load profile data for demand users)"/>
    <hyperlink ref="A39" location="'Loads'!B18" display="x1 = 2301. Demand coefficient (load at time of system maximum load divided by average load)"/>
    <hyperlink ref="A165" location="'Loads'!B72" display="x1 = 2303. Discount map"/>
    <hyperlink ref="A166" location="'Input'!B151" display="x2 = 1037. Embedded network (LDNO) discounts"/>
    <hyperlink ref="A168" location="'Loads'!B179" display="x4 = Discount for each tariff (except for fixed charges) (in LDNO discounts and volumes adjusted for discount)"/>
    <hyperlink ref="A169" location="'Input'!B181" display="x5 = 1053. Rate 1 units (MWh) by tariff (in Volume forecasts for the charging year)"/>
    <hyperlink ref="A170" location="'Input'!C181" display="x6 = 1053. Rate 2 units (MWh) by tariff (in Volume forecasts for the charging year)"/>
    <hyperlink ref="A171" location="'Input'!D181" display="x7 = 1053. Rate 3 units (MWh) by tariff (in Volume forecasts for the charging year)"/>
    <hyperlink ref="A172" location="'Input'!E181" display="x8 = 1053. MPANs by tariff (in Volume forecasts for the charging year)"/>
    <hyperlink ref="A173" location="'Loads'!C179" display="x9 = Discount for each tariff for fixed charges only (in LDNO discounts and volumes adjusted for discount)"/>
    <hyperlink ref="A174" location="'Input'!F181" display="x10 = 1053. Import capacity (kVA) by tariff (in Volume forecasts for the charging year)"/>
    <hyperlink ref="A175" location="'Input'!G181" display="x11 = 1053. Reactive power units (MVArh) by tariff (in Volume forecasts for the charging year)"/>
    <hyperlink ref="A272" location="'Loads'!D179" display="x1 = 2304. Rate 1 units (MWh) (in LDNO discounts and volumes adjusted for discount)"/>
    <hyperlink ref="A273" location="'Loads'!E179" display="x2 = 2304. Rate 2 units (MWh) (in LDNO discounts and volumes adjusted for discount)"/>
    <hyperlink ref="A274" location="'Loads'!F179" display="x3 = 2304. Rate 3 units (MWh) (in LDNO discounts and volumes adjusted for discount)"/>
    <hyperlink ref="A275" location="'Loads'!G179" display="x4 = 2304. MPANs (in LDNO discounts and volumes adjusted for discount)"/>
    <hyperlink ref="A276" location="'Loads'!H179" display="x5 = 2304. Import capacity (kVA) (in LDNO discounts and volumes adjusted for discount)"/>
    <hyperlink ref="A277" location="'Loads'!I179" display="x6 = 2304. Reactive power units (MVArh) (in LDNO discounts and volumes adjusted for discount)"/>
  </hyperlink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61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>
      <c r="A1" s="1">
        <f>"Load characteristics for multiple unit rates"&amp;" for "&amp;'Input'!B7&amp;" in "&amp;'Input'!C7&amp;" ("&amp;'Input'!D7&amp;")"</f>
        <v>0</v>
      </c>
    </row>
    <row r="3" spans="1:6">
      <c r="A3" s="1" t="s">
        <v>538</v>
      </c>
    </row>
    <row r="4" spans="1:6">
      <c r="A4" s="2" t="s">
        <v>349</v>
      </c>
    </row>
    <row r="5" spans="1:6">
      <c r="A5" s="12" t="s">
        <v>539</v>
      </c>
    </row>
    <row r="6" spans="1:6">
      <c r="A6" s="12" t="s">
        <v>540</v>
      </c>
    </row>
    <row r="7" spans="1:6">
      <c r="A7" s="12" t="s">
        <v>541</v>
      </c>
    </row>
    <row r="8" spans="1:6">
      <c r="A8" s="26" t="s">
        <v>352</v>
      </c>
      <c r="B8" s="26" t="s">
        <v>483</v>
      </c>
      <c r="C8" s="26" t="s">
        <v>482</v>
      </c>
      <c r="D8" s="26"/>
      <c r="E8" s="26"/>
    </row>
    <row r="9" spans="1:6">
      <c r="A9" s="26" t="s">
        <v>355</v>
      </c>
      <c r="B9" s="26" t="s">
        <v>533</v>
      </c>
      <c r="C9" s="26" t="s">
        <v>542</v>
      </c>
      <c r="D9" s="26"/>
      <c r="E9" s="26"/>
    </row>
    <row r="11" spans="1:6">
      <c r="C11" s="25" t="s">
        <v>544</v>
      </c>
      <c r="D11" s="25"/>
      <c r="E11" s="25"/>
    </row>
    <row r="12" spans="1:6">
      <c r="B12" s="3" t="s">
        <v>543</v>
      </c>
      <c r="C12" s="3" t="s">
        <v>317</v>
      </c>
      <c r="D12" s="3" t="s">
        <v>318</v>
      </c>
      <c r="E12" s="3" t="s">
        <v>319</v>
      </c>
    </row>
    <row r="13" spans="1:6">
      <c r="A13" s="11" t="s">
        <v>545</v>
      </c>
      <c r="B13" s="32">
        <f>SUM('Input'!$B334:$D334)</f>
        <v>0</v>
      </c>
      <c r="C13" s="32">
        <f>'Input'!B334*24*'Input'!$F58/$B13</f>
        <v>0</v>
      </c>
      <c r="D13" s="32">
        <f>'Input'!C334*24*'Input'!$F58/$B13</f>
        <v>0</v>
      </c>
      <c r="E13" s="32">
        <f>'Input'!D334*24*'Input'!$F58/$B13</f>
        <v>0</v>
      </c>
      <c r="F13" s="10"/>
    </row>
    <row r="15" spans="1:6">
      <c r="A15" s="1" t="s">
        <v>546</v>
      </c>
    </row>
    <row r="16" spans="1:6">
      <c r="A16" s="2" t="s">
        <v>349</v>
      </c>
    </row>
    <row r="17" spans="1:6">
      <c r="A17" s="12" t="s">
        <v>547</v>
      </c>
    </row>
    <row r="18" spans="1:6">
      <c r="A18" s="12" t="s">
        <v>548</v>
      </c>
    </row>
    <row r="19" spans="1:6">
      <c r="A19" s="12" t="s">
        <v>549</v>
      </c>
    </row>
    <row r="20" spans="1:6">
      <c r="A20" s="12" t="s">
        <v>550</v>
      </c>
    </row>
    <row r="21" spans="1:6">
      <c r="A21" s="26" t="s">
        <v>352</v>
      </c>
      <c r="B21" s="26" t="s">
        <v>483</v>
      </c>
      <c r="C21" s="26" t="s">
        <v>482</v>
      </c>
      <c r="D21" s="26"/>
      <c r="E21" s="26"/>
    </row>
    <row r="22" spans="1:6">
      <c r="A22" s="26" t="s">
        <v>355</v>
      </c>
      <c r="B22" s="26" t="s">
        <v>533</v>
      </c>
      <c r="C22" s="26" t="s">
        <v>551</v>
      </c>
      <c r="D22" s="26"/>
      <c r="E22" s="26"/>
    </row>
    <row r="24" spans="1:6">
      <c r="C24" s="25" t="s">
        <v>553</v>
      </c>
      <c r="D24" s="25"/>
      <c r="E24" s="25"/>
    </row>
    <row r="25" spans="1:6">
      <c r="B25" s="3" t="s">
        <v>552</v>
      </c>
      <c r="C25" s="3" t="s">
        <v>317</v>
      </c>
      <c r="D25" s="3" t="s">
        <v>318</v>
      </c>
      <c r="E25" s="3" t="s">
        <v>319</v>
      </c>
    </row>
    <row r="26" spans="1:6">
      <c r="A26" s="11" t="s">
        <v>173</v>
      </c>
      <c r="B26" s="29">
        <f>SUM('Input'!$B297:$D297)</f>
        <v>0</v>
      </c>
      <c r="C26" s="29">
        <f>IF($B26,'Input'!B297/$B26,C$13/'Input'!$F$58/24)</f>
        <v>0</v>
      </c>
      <c r="D26" s="29">
        <f>IF($B26,'Input'!C297/$B26,D$13/'Input'!$F$58/24)</f>
        <v>0</v>
      </c>
      <c r="E26" s="29">
        <f>IF($B26,'Input'!D297/$B26,E$13/'Input'!$F$58/24)</f>
        <v>0</v>
      </c>
      <c r="F26" s="10"/>
    </row>
    <row r="27" spans="1:6">
      <c r="A27" s="11" t="s">
        <v>210</v>
      </c>
      <c r="B27" s="29">
        <f>SUM('Input'!$B298:$D298)</f>
        <v>0</v>
      </c>
      <c r="C27" s="29">
        <f>IF($B27,'Input'!B298/$B27,C$13/'Input'!$F$58/24)</f>
        <v>0</v>
      </c>
      <c r="D27" s="29">
        <f>IF($B27,'Input'!C298/$B27,D$13/'Input'!$F$58/24)</f>
        <v>0</v>
      </c>
      <c r="E27" s="29">
        <f>IF($B27,'Input'!D298/$B27,E$13/'Input'!$F$58/24)</f>
        <v>0</v>
      </c>
      <c r="F27" s="10"/>
    </row>
    <row r="28" spans="1:6">
      <c r="A28" s="11" t="s">
        <v>175</v>
      </c>
      <c r="B28" s="29">
        <f>SUM('Input'!$B299:$D299)</f>
        <v>0</v>
      </c>
      <c r="C28" s="29">
        <f>IF($B28,'Input'!B299/$B28,C$13/'Input'!$F$58/24)</f>
        <v>0</v>
      </c>
      <c r="D28" s="29">
        <f>IF($B28,'Input'!C299/$B28,D$13/'Input'!$F$58/24)</f>
        <v>0</v>
      </c>
      <c r="E28" s="29">
        <f>IF($B28,'Input'!D299/$B28,E$13/'Input'!$F$58/24)</f>
        <v>0</v>
      </c>
      <c r="F28" s="10"/>
    </row>
    <row r="29" spans="1:6">
      <c r="A29" s="11" t="s">
        <v>211</v>
      </c>
      <c r="B29" s="29">
        <f>SUM('Input'!$B300:$D300)</f>
        <v>0</v>
      </c>
      <c r="C29" s="29">
        <f>IF($B29,'Input'!B300/$B29,C$13/'Input'!$F$58/24)</f>
        <v>0</v>
      </c>
      <c r="D29" s="29">
        <f>IF($B29,'Input'!C300/$B29,D$13/'Input'!$F$58/24)</f>
        <v>0</v>
      </c>
      <c r="E29" s="29">
        <f>IF($B29,'Input'!D300/$B29,E$13/'Input'!$F$58/24)</f>
        <v>0</v>
      </c>
      <c r="F29" s="10"/>
    </row>
    <row r="30" spans="1:6">
      <c r="A30" s="11" t="s">
        <v>176</v>
      </c>
      <c r="B30" s="29">
        <f>SUM('Input'!$B301:$D301)</f>
        <v>0</v>
      </c>
      <c r="C30" s="29">
        <f>IF($B30,'Input'!B301/$B30,C$13/'Input'!$F$58/24)</f>
        <v>0</v>
      </c>
      <c r="D30" s="29">
        <f>IF($B30,'Input'!C301/$B30,D$13/'Input'!$F$58/24)</f>
        <v>0</v>
      </c>
      <c r="E30" s="29">
        <f>IF($B30,'Input'!D301/$B30,E$13/'Input'!$F$58/24)</f>
        <v>0</v>
      </c>
      <c r="F30" s="10"/>
    </row>
    <row r="31" spans="1:6">
      <c r="A31" s="11" t="s">
        <v>177</v>
      </c>
      <c r="B31" s="29">
        <f>SUM('Input'!$B302:$D302)</f>
        <v>0</v>
      </c>
      <c r="C31" s="29">
        <f>IF($B31,'Input'!B302/$B31,C$13/'Input'!$F$58/24)</f>
        <v>0</v>
      </c>
      <c r="D31" s="29">
        <f>IF($B31,'Input'!C302/$B31,D$13/'Input'!$F$58/24)</f>
        <v>0</v>
      </c>
      <c r="E31" s="29">
        <f>IF($B31,'Input'!D302/$B31,E$13/'Input'!$F$58/24)</f>
        <v>0</v>
      </c>
      <c r="F31" s="10"/>
    </row>
    <row r="32" spans="1:6">
      <c r="A32" s="11" t="s">
        <v>191</v>
      </c>
      <c r="B32" s="29">
        <f>SUM('Input'!$B303:$D303)</f>
        <v>0</v>
      </c>
      <c r="C32" s="29">
        <f>IF($B32,'Input'!B303/$B32,C$13/'Input'!$F$58/24)</f>
        <v>0</v>
      </c>
      <c r="D32" s="29">
        <f>IF($B32,'Input'!C303/$B32,D$13/'Input'!$F$58/24)</f>
        <v>0</v>
      </c>
      <c r="E32" s="29">
        <f>IF($B32,'Input'!D303/$B32,E$13/'Input'!$F$58/24)</f>
        <v>0</v>
      </c>
      <c r="F32" s="10"/>
    </row>
    <row r="34" spans="1:5">
      <c r="A34" s="1" t="s">
        <v>554</v>
      </c>
    </row>
    <row r="35" spans="1:5">
      <c r="A35" s="2" t="s">
        <v>349</v>
      </c>
    </row>
    <row r="36" spans="1:5">
      <c r="A36" s="12" t="s">
        <v>555</v>
      </c>
    </row>
    <row r="37" spans="1:5">
      <c r="A37" s="2" t="s">
        <v>556</v>
      </c>
    </row>
    <row r="38" spans="1:5">
      <c r="A38" s="2" t="s">
        <v>367</v>
      </c>
    </row>
    <row r="40" spans="1:5">
      <c r="B40" s="3" t="s">
        <v>317</v>
      </c>
      <c r="C40" s="3" t="s">
        <v>318</v>
      </c>
      <c r="D40" s="3" t="s">
        <v>319</v>
      </c>
    </row>
    <row r="41" spans="1:5">
      <c r="A41" s="11" t="s">
        <v>173</v>
      </c>
      <c r="B41" s="31">
        <f>C$26</f>
        <v>0</v>
      </c>
      <c r="C41" s="31">
        <f>D$26</f>
        <v>0</v>
      </c>
      <c r="D41" s="31">
        <f>E$26</f>
        <v>0</v>
      </c>
      <c r="E41" s="10"/>
    </row>
    <row r="42" spans="1:5">
      <c r="A42" s="11" t="s">
        <v>210</v>
      </c>
      <c r="B42" s="31">
        <f>C$27</f>
        <v>0</v>
      </c>
      <c r="C42" s="31">
        <f>D$27</f>
        <v>0</v>
      </c>
      <c r="D42" s="31">
        <f>E$27</f>
        <v>0</v>
      </c>
      <c r="E42" s="10"/>
    </row>
    <row r="43" spans="1:5">
      <c r="A43" s="11" t="s">
        <v>175</v>
      </c>
      <c r="B43" s="31">
        <f>C$28</f>
        <v>0</v>
      </c>
      <c r="C43" s="31">
        <f>D$28</f>
        <v>0</v>
      </c>
      <c r="D43" s="31">
        <f>E$28</f>
        <v>0</v>
      </c>
      <c r="E43" s="10"/>
    </row>
    <row r="44" spans="1:5">
      <c r="A44" s="11" t="s">
        <v>211</v>
      </c>
      <c r="B44" s="31">
        <f>C$29</f>
        <v>0</v>
      </c>
      <c r="C44" s="31">
        <f>D$29</f>
        <v>0</v>
      </c>
      <c r="D44" s="31">
        <f>E$29</f>
        <v>0</v>
      </c>
      <c r="E44" s="10"/>
    </row>
    <row r="45" spans="1:5">
      <c r="A45" s="11" t="s">
        <v>176</v>
      </c>
      <c r="B45" s="31">
        <f>C$30</f>
        <v>0</v>
      </c>
      <c r="C45" s="31">
        <f>D$30</f>
        <v>0</v>
      </c>
      <c r="D45" s="31">
        <f>E$30</f>
        <v>0</v>
      </c>
      <c r="E45" s="10"/>
    </row>
    <row r="46" spans="1:5">
      <c r="A46" s="11" t="s">
        <v>177</v>
      </c>
      <c r="B46" s="31">
        <f>C$31</f>
        <v>0</v>
      </c>
      <c r="C46" s="31">
        <f>D$31</f>
        <v>0</v>
      </c>
      <c r="D46" s="31">
        <f>E$31</f>
        <v>0</v>
      </c>
      <c r="E46" s="10"/>
    </row>
    <row r="47" spans="1:5">
      <c r="A47" s="11" t="s">
        <v>191</v>
      </c>
      <c r="B47" s="31">
        <f>C$32</f>
        <v>0</v>
      </c>
      <c r="C47" s="31">
        <f>D$32</f>
        <v>0</v>
      </c>
      <c r="D47" s="31">
        <f>E$32</f>
        <v>0</v>
      </c>
      <c r="E47" s="10"/>
    </row>
    <row r="48" spans="1:5">
      <c r="A48" s="11" t="s">
        <v>178</v>
      </c>
      <c r="B48" s="30">
        <v>1</v>
      </c>
      <c r="C48" s="30">
        <v>0</v>
      </c>
      <c r="D48" s="30">
        <v>0</v>
      </c>
      <c r="E48" s="10"/>
    </row>
    <row r="49" spans="1:5">
      <c r="A49" s="11" t="s">
        <v>179</v>
      </c>
      <c r="B49" s="30">
        <v>1</v>
      </c>
      <c r="C49" s="30">
        <v>0</v>
      </c>
      <c r="D49" s="30">
        <v>0</v>
      </c>
      <c r="E49" s="10"/>
    </row>
    <row r="50" spans="1:5">
      <c r="A50" s="11" t="s">
        <v>192</v>
      </c>
      <c r="B50" s="30">
        <v>1</v>
      </c>
      <c r="C50" s="30">
        <v>0</v>
      </c>
      <c r="D50" s="30">
        <v>0</v>
      </c>
      <c r="E50" s="10"/>
    </row>
    <row r="51" spans="1:5">
      <c r="A51" s="11" t="s">
        <v>183</v>
      </c>
      <c r="B51" s="30">
        <v>1</v>
      </c>
      <c r="C51" s="30">
        <v>0</v>
      </c>
      <c r="D51" s="30">
        <v>0</v>
      </c>
      <c r="E51" s="10"/>
    </row>
    <row r="52" spans="1:5">
      <c r="A52" s="11" t="s">
        <v>185</v>
      </c>
      <c r="B52" s="30">
        <v>1</v>
      </c>
      <c r="C52" s="30">
        <v>0</v>
      </c>
      <c r="D52" s="30">
        <v>0</v>
      </c>
      <c r="E52" s="10"/>
    </row>
    <row r="53" spans="1:5">
      <c r="A53" s="11" t="s">
        <v>194</v>
      </c>
      <c r="B53" s="30">
        <v>1</v>
      </c>
      <c r="C53" s="30">
        <v>0</v>
      </c>
      <c r="D53" s="30">
        <v>0</v>
      </c>
      <c r="E53" s="10"/>
    </row>
    <row r="55" spans="1:5">
      <c r="A55" s="1" t="s">
        <v>557</v>
      </c>
    </row>
    <row r="56" spans="1:5">
      <c r="A56" s="2" t="s">
        <v>349</v>
      </c>
    </row>
    <row r="57" spans="1:5">
      <c r="A57" s="12" t="s">
        <v>558</v>
      </c>
    </row>
    <row r="58" spans="1:5">
      <c r="A58" s="12" t="s">
        <v>559</v>
      </c>
    </row>
    <row r="59" spans="1:5">
      <c r="A59" s="12" t="s">
        <v>549</v>
      </c>
    </row>
    <row r="60" spans="1:5">
      <c r="A60" s="12" t="s">
        <v>550</v>
      </c>
    </row>
    <row r="61" spans="1:5">
      <c r="A61" s="26" t="s">
        <v>352</v>
      </c>
      <c r="B61" s="26" t="s">
        <v>483</v>
      </c>
      <c r="C61" s="26" t="s">
        <v>482</v>
      </c>
      <c r="D61" s="26"/>
      <c r="E61" s="26"/>
    </row>
    <row r="62" spans="1:5">
      <c r="A62" s="26" t="s">
        <v>355</v>
      </c>
      <c r="B62" s="26" t="s">
        <v>533</v>
      </c>
      <c r="C62" s="26" t="s">
        <v>551</v>
      </c>
      <c r="D62" s="26"/>
      <c r="E62" s="26"/>
    </row>
    <row r="64" spans="1:5">
      <c r="C64" s="25" t="s">
        <v>560</v>
      </c>
      <c r="D64" s="25"/>
      <c r="E64" s="25"/>
    </row>
    <row r="65" spans="1:6">
      <c r="B65" s="3" t="s">
        <v>552</v>
      </c>
      <c r="C65" s="3" t="s">
        <v>317</v>
      </c>
      <c r="D65" s="3" t="s">
        <v>318</v>
      </c>
      <c r="E65" s="3" t="s">
        <v>319</v>
      </c>
    </row>
    <row r="66" spans="1:6">
      <c r="A66" s="11" t="s">
        <v>173</v>
      </c>
      <c r="B66" s="29">
        <f>SUM('Input'!$B308:$D308)</f>
        <v>0</v>
      </c>
      <c r="C66" s="29">
        <f>IF($B66,'Input'!B308/$B66,C$13/'Input'!$F$58/24)</f>
        <v>0</v>
      </c>
      <c r="D66" s="29">
        <f>IF($B66,'Input'!C308/$B66,D$13/'Input'!$F$58/24)</f>
        <v>0</v>
      </c>
      <c r="E66" s="29">
        <f>IF($B66,'Input'!D308/$B66,E$13/'Input'!$F$58/24)</f>
        <v>0</v>
      </c>
      <c r="F66" s="10"/>
    </row>
    <row r="67" spans="1:6">
      <c r="A67" s="11" t="s">
        <v>175</v>
      </c>
      <c r="B67" s="29">
        <f>SUM('Input'!$B309:$D309)</f>
        <v>0</v>
      </c>
      <c r="C67" s="29">
        <f>IF($B67,'Input'!B309/$B67,C$13/'Input'!$F$58/24)</f>
        <v>0</v>
      </c>
      <c r="D67" s="29">
        <f>IF($B67,'Input'!C309/$B67,D$13/'Input'!$F$58/24)</f>
        <v>0</v>
      </c>
      <c r="E67" s="29">
        <f>IF($B67,'Input'!D309/$B67,E$13/'Input'!$F$58/24)</f>
        <v>0</v>
      </c>
      <c r="F67" s="10"/>
    </row>
    <row r="68" spans="1:6">
      <c r="A68" s="11" t="s">
        <v>176</v>
      </c>
      <c r="B68" s="29">
        <f>SUM('Input'!$B310:$D310)</f>
        <v>0</v>
      </c>
      <c r="C68" s="29">
        <f>IF($B68,'Input'!B310/$B68,C$13/'Input'!$F$58/24)</f>
        <v>0</v>
      </c>
      <c r="D68" s="29">
        <f>IF($B68,'Input'!C310/$B68,D$13/'Input'!$F$58/24)</f>
        <v>0</v>
      </c>
      <c r="E68" s="29">
        <f>IF($B68,'Input'!D310/$B68,E$13/'Input'!$F$58/24)</f>
        <v>0</v>
      </c>
      <c r="F68" s="10"/>
    </row>
    <row r="69" spans="1:6">
      <c r="A69" s="11" t="s">
        <v>177</v>
      </c>
      <c r="B69" s="29">
        <f>SUM('Input'!$B311:$D311)</f>
        <v>0</v>
      </c>
      <c r="C69" s="29">
        <f>IF($B69,'Input'!B311/$B69,C$13/'Input'!$F$58/24)</f>
        <v>0</v>
      </c>
      <c r="D69" s="29">
        <f>IF($B69,'Input'!C311/$B69,D$13/'Input'!$F$58/24)</f>
        <v>0</v>
      </c>
      <c r="E69" s="29">
        <f>IF($B69,'Input'!D311/$B69,E$13/'Input'!$F$58/24)</f>
        <v>0</v>
      </c>
      <c r="F69" s="10"/>
    </row>
    <row r="70" spans="1:6">
      <c r="A70" s="11" t="s">
        <v>191</v>
      </c>
      <c r="B70" s="29">
        <f>SUM('Input'!$B312:$D312)</f>
        <v>0</v>
      </c>
      <c r="C70" s="29">
        <f>IF($B70,'Input'!B312/$B70,C$13/'Input'!$F$58/24)</f>
        <v>0</v>
      </c>
      <c r="D70" s="29">
        <f>IF($B70,'Input'!C312/$B70,D$13/'Input'!$F$58/24)</f>
        <v>0</v>
      </c>
      <c r="E70" s="29">
        <f>IF($B70,'Input'!D312/$B70,E$13/'Input'!$F$58/24)</f>
        <v>0</v>
      </c>
      <c r="F70" s="10"/>
    </row>
    <row r="72" spans="1:6">
      <c r="A72" s="1" t="s">
        <v>561</v>
      </c>
    </row>
    <row r="73" spans="1:6">
      <c r="A73" s="2" t="s">
        <v>349</v>
      </c>
    </row>
    <row r="74" spans="1:6">
      <c r="A74" s="12" t="s">
        <v>562</v>
      </c>
    </row>
    <row r="75" spans="1:6">
      <c r="A75" s="2" t="s">
        <v>563</v>
      </c>
    </row>
    <row r="76" spans="1:6">
      <c r="A76" s="2" t="s">
        <v>367</v>
      </c>
    </row>
    <row r="78" spans="1:6">
      <c r="B78" s="3" t="s">
        <v>317</v>
      </c>
      <c r="C78" s="3" t="s">
        <v>318</v>
      </c>
      <c r="D78" s="3" t="s">
        <v>319</v>
      </c>
    </row>
    <row r="79" spans="1:6">
      <c r="A79" s="11" t="s">
        <v>173</v>
      </c>
      <c r="B79" s="31">
        <f>C$66</f>
        <v>0</v>
      </c>
      <c r="C79" s="31">
        <f>D$66</f>
        <v>0</v>
      </c>
      <c r="D79" s="31">
        <f>E$66</f>
        <v>0</v>
      </c>
      <c r="E79" s="10"/>
    </row>
    <row r="80" spans="1:6">
      <c r="A80" s="11" t="s">
        <v>175</v>
      </c>
      <c r="B80" s="31">
        <f>C$67</f>
        <v>0</v>
      </c>
      <c r="C80" s="31">
        <f>D$67</f>
        <v>0</v>
      </c>
      <c r="D80" s="31">
        <f>E$67</f>
        <v>0</v>
      </c>
      <c r="E80" s="10"/>
    </row>
    <row r="81" spans="1:5">
      <c r="A81" s="11" t="s">
        <v>176</v>
      </c>
      <c r="B81" s="31">
        <f>C$68</f>
        <v>0</v>
      </c>
      <c r="C81" s="31">
        <f>D$68</f>
        <v>0</v>
      </c>
      <c r="D81" s="31">
        <f>E$68</f>
        <v>0</v>
      </c>
      <c r="E81" s="10"/>
    </row>
    <row r="82" spans="1:5">
      <c r="A82" s="11" t="s">
        <v>177</v>
      </c>
      <c r="B82" s="31">
        <f>C$69</f>
        <v>0</v>
      </c>
      <c r="C82" s="31">
        <f>D$69</f>
        <v>0</v>
      </c>
      <c r="D82" s="31">
        <f>E$69</f>
        <v>0</v>
      </c>
      <c r="E82" s="10"/>
    </row>
    <row r="83" spans="1:5">
      <c r="A83" s="11" t="s">
        <v>191</v>
      </c>
      <c r="B83" s="31">
        <f>C$70</f>
        <v>0</v>
      </c>
      <c r="C83" s="31">
        <f>D$70</f>
        <v>0</v>
      </c>
      <c r="D83" s="31">
        <f>E$70</f>
        <v>0</v>
      </c>
      <c r="E83" s="10"/>
    </row>
    <row r="84" spans="1:5">
      <c r="A84" s="11" t="s">
        <v>178</v>
      </c>
      <c r="B84" s="30">
        <v>0</v>
      </c>
      <c r="C84" s="30">
        <v>1</v>
      </c>
      <c r="D84" s="30">
        <v>0</v>
      </c>
      <c r="E84" s="10"/>
    </row>
    <row r="85" spans="1:5">
      <c r="A85" s="11" t="s">
        <v>179</v>
      </c>
      <c r="B85" s="30">
        <v>0</v>
      </c>
      <c r="C85" s="30">
        <v>1</v>
      </c>
      <c r="D85" s="30">
        <v>0</v>
      </c>
      <c r="E85" s="10"/>
    </row>
    <row r="86" spans="1:5">
      <c r="A86" s="11" t="s">
        <v>192</v>
      </c>
      <c r="B86" s="30">
        <v>0</v>
      </c>
      <c r="C86" s="30">
        <v>1</v>
      </c>
      <c r="D86" s="30">
        <v>0</v>
      </c>
      <c r="E86" s="10"/>
    </row>
    <row r="87" spans="1:5">
      <c r="A87" s="11" t="s">
        <v>183</v>
      </c>
      <c r="B87" s="30">
        <v>0</v>
      </c>
      <c r="C87" s="30">
        <v>1</v>
      </c>
      <c r="D87" s="30">
        <v>0</v>
      </c>
      <c r="E87" s="10"/>
    </row>
    <row r="88" spans="1:5">
      <c r="A88" s="11" t="s">
        <v>185</v>
      </c>
      <c r="B88" s="30">
        <v>0</v>
      </c>
      <c r="C88" s="30">
        <v>1</v>
      </c>
      <c r="D88" s="30">
        <v>0</v>
      </c>
      <c r="E88" s="10"/>
    </row>
    <row r="89" spans="1:5">
      <c r="A89" s="11" t="s">
        <v>194</v>
      </c>
      <c r="B89" s="30">
        <v>0</v>
      </c>
      <c r="C89" s="30">
        <v>1</v>
      </c>
      <c r="D89" s="30">
        <v>0</v>
      </c>
      <c r="E89" s="10"/>
    </row>
    <row r="91" spans="1:5">
      <c r="A91" s="1" t="s">
        <v>564</v>
      </c>
    </row>
    <row r="93" spans="1:5">
      <c r="B93" s="3" t="s">
        <v>317</v>
      </c>
      <c r="C93" s="3" t="s">
        <v>318</v>
      </c>
      <c r="D93" s="3" t="s">
        <v>319</v>
      </c>
    </row>
    <row r="94" spans="1:5">
      <c r="A94" s="11" t="s">
        <v>178</v>
      </c>
      <c r="B94" s="30">
        <v>0</v>
      </c>
      <c r="C94" s="30">
        <v>0</v>
      </c>
      <c r="D94" s="30">
        <v>1</v>
      </c>
      <c r="E94" s="10"/>
    </row>
    <row r="95" spans="1:5">
      <c r="A95" s="11" t="s">
        <v>179</v>
      </c>
      <c r="B95" s="30">
        <v>0</v>
      </c>
      <c r="C95" s="30">
        <v>0</v>
      </c>
      <c r="D95" s="30">
        <v>1</v>
      </c>
      <c r="E95" s="10"/>
    </row>
    <row r="96" spans="1:5">
      <c r="A96" s="11" t="s">
        <v>192</v>
      </c>
      <c r="B96" s="30">
        <v>0</v>
      </c>
      <c r="C96" s="30">
        <v>0</v>
      </c>
      <c r="D96" s="30">
        <v>1</v>
      </c>
      <c r="E96" s="10"/>
    </row>
    <row r="97" spans="1:5">
      <c r="A97" s="11" t="s">
        <v>183</v>
      </c>
      <c r="B97" s="30">
        <v>0</v>
      </c>
      <c r="C97" s="30">
        <v>0</v>
      </c>
      <c r="D97" s="30">
        <v>1</v>
      </c>
      <c r="E97" s="10"/>
    </row>
    <row r="98" spans="1:5">
      <c r="A98" s="11" t="s">
        <v>185</v>
      </c>
      <c r="B98" s="30">
        <v>0</v>
      </c>
      <c r="C98" s="30">
        <v>0</v>
      </c>
      <c r="D98" s="30">
        <v>1</v>
      </c>
      <c r="E98" s="10"/>
    </row>
    <row r="99" spans="1:5">
      <c r="A99" s="11" t="s">
        <v>194</v>
      </c>
      <c r="B99" s="30">
        <v>0</v>
      </c>
      <c r="C99" s="30">
        <v>0</v>
      </c>
      <c r="D99" s="30">
        <v>1</v>
      </c>
      <c r="E99" s="10"/>
    </row>
    <row r="101" spans="1:5">
      <c r="A101" s="1" t="s">
        <v>565</v>
      </c>
    </row>
    <row r="102" spans="1:5">
      <c r="A102" s="2" t="s">
        <v>349</v>
      </c>
    </row>
    <row r="103" spans="1:5">
      <c r="A103" s="12" t="s">
        <v>566</v>
      </c>
    </row>
    <row r="104" spans="1:5">
      <c r="A104" s="12" t="s">
        <v>567</v>
      </c>
    </row>
    <row r="105" spans="1:5">
      <c r="A105" s="12" t="s">
        <v>568</v>
      </c>
    </row>
    <row r="106" spans="1:5">
      <c r="A106" s="2" t="s">
        <v>569</v>
      </c>
    </row>
    <row r="108" spans="1:5">
      <c r="B108" s="3" t="s">
        <v>570</v>
      </c>
    </row>
    <row r="109" spans="1:5">
      <c r="A109" s="11" t="s">
        <v>172</v>
      </c>
      <c r="B109" s="17">
        <f>'Loads'!B282+'Loads'!C282+'Loads'!D282</f>
        <v>0</v>
      </c>
      <c r="C109" s="10"/>
    </row>
    <row r="110" spans="1:5">
      <c r="A110" s="11" t="s">
        <v>173</v>
      </c>
      <c r="B110" s="17">
        <f>'Loads'!B283+'Loads'!C283+'Loads'!D283</f>
        <v>0</v>
      </c>
      <c r="C110" s="10"/>
    </row>
    <row r="111" spans="1:5">
      <c r="A111" s="11" t="s">
        <v>210</v>
      </c>
      <c r="B111" s="17">
        <f>'Loads'!B284+'Loads'!C284+'Loads'!D284</f>
        <v>0</v>
      </c>
      <c r="C111" s="10"/>
    </row>
    <row r="112" spans="1:5">
      <c r="A112" s="11" t="s">
        <v>174</v>
      </c>
      <c r="B112" s="17">
        <f>'Loads'!B285+'Loads'!C285+'Loads'!D285</f>
        <v>0</v>
      </c>
      <c r="C112" s="10"/>
    </row>
    <row r="113" spans="1:3">
      <c r="A113" s="11" t="s">
        <v>175</v>
      </c>
      <c r="B113" s="17">
        <f>'Loads'!B286+'Loads'!C286+'Loads'!D286</f>
        <v>0</v>
      </c>
      <c r="C113" s="10"/>
    </row>
    <row r="114" spans="1:3">
      <c r="A114" s="11" t="s">
        <v>211</v>
      </c>
      <c r="B114" s="17">
        <f>'Loads'!B287+'Loads'!C287+'Loads'!D287</f>
        <v>0</v>
      </c>
      <c r="C114" s="10"/>
    </row>
    <row r="115" spans="1:3">
      <c r="A115" s="11" t="s">
        <v>176</v>
      </c>
      <c r="B115" s="17">
        <f>'Loads'!B288+'Loads'!C288+'Loads'!D288</f>
        <v>0</v>
      </c>
      <c r="C115" s="10"/>
    </row>
    <row r="116" spans="1:3">
      <c r="A116" s="11" t="s">
        <v>177</v>
      </c>
      <c r="B116" s="17">
        <f>'Loads'!B289+'Loads'!C289+'Loads'!D289</f>
        <v>0</v>
      </c>
      <c r="C116" s="10"/>
    </row>
    <row r="117" spans="1:3">
      <c r="A117" s="11" t="s">
        <v>191</v>
      </c>
      <c r="B117" s="17">
        <f>'Loads'!B290+'Loads'!C290+'Loads'!D290</f>
        <v>0</v>
      </c>
      <c r="C117" s="10"/>
    </row>
    <row r="118" spans="1:3">
      <c r="A118" s="11" t="s">
        <v>178</v>
      </c>
      <c r="B118" s="17">
        <f>'Loads'!B291+'Loads'!C291+'Loads'!D291</f>
        <v>0</v>
      </c>
      <c r="C118" s="10"/>
    </row>
    <row r="119" spans="1:3">
      <c r="A119" s="11" t="s">
        <v>179</v>
      </c>
      <c r="B119" s="17">
        <f>'Loads'!B292+'Loads'!C292+'Loads'!D292</f>
        <v>0</v>
      </c>
      <c r="C119" s="10"/>
    </row>
    <row r="120" spans="1:3">
      <c r="A120" s="11" t="s">
        <v>192</v>
      </c>
      <c r="B120" s="17">
        <f>'Loads'!B293+'Loads'!C293+'Loads'!D293</f>
        <v>0</v>
      </c>
      <c r="C120" s="10"/>
    </row>
    <row r="121" spans="1:3">
      <c r="A121" s="11" t="s">
        <v>212</v>
      </c>
      <c r="B121" s="17">
        <f>'Loads'!B294+'Loads'!C294+'Loads'!D294</f>
        <v>0</v>
      </c>
      <c r="C121" s="10"/>
    </row>
    <row r="122" spans="1:3">
      <c r="A122" s="11" t="s">
        <v>213</v>
      </c>
      <c r="B122" s="17">
        <f>'Loads'!B295+'Loads'!C295+'Loads'!D295</f>
        <v>0</v>
      </c>
      <c r="C122" s="10"/>
    </row>
    <row r="123" spans="1:3">
      <c r="A123" s="11" t="s">
        <v>214</v>
      </c>
      <c r="B123" s="17">
        <f>'Loads'!B296+'Loads'!C296+'Loads'!D296</f>
        <v>0</v>
      </c>
      <c r="C123" s="10"/>
    </row>
    <row r="124" spans="1:3">
      <c r="A124" s="11" t="s">
        <v>215</v>
      </c>
      <c r="B124" s="17">
        <f>'Loads'!B297+'Loads'!C297+'Loads'!D297</f>
        <v>0</v>
      </c>
      <c r="C124" s="10"/>
    </row>
    <row r="125" spans="1:3">
      <c r="A125" s="11" t="s">
        <v>216</v>
      </c>
      <c r="B125" s="17">
        <f>'Loads'!B298+'Loads'!C298+'Loads'!D298</f>
        <v>0</v>
      </c>
      <c r="C125" s="10"/>
    </row>
    <row r="126" spans="1:3">
      <c r="A126" s="11" t="s">
        <v>180</v>
      </c>
      <c r="B126" s="17">
        <f>'Loads'!B299+'Loads'!C299+'Loads'!D299</f>
        <v>0</v>
      </c>
      <c r="C126" s="10"/>
    </row>
    <row r="127" spans="1:3">
      <c r="A127" s="11" t="s">
        <v>181</v>
      </c>
      <c r="B127" s="17">
        <f>'Loads'!B300+'Loads'!C300+'Loads'!D300</f>
        <v>0</v>
      </c>
      <c r="C127" s="10"/>
    </row>
    <row r="128" spans="1:3">
      <c r="A128" s="11" t="s">
        <v>182</v>
      </c>
      <c r="B128" s="17">
        <f>'Loads'!B301+'Loads'!C301+'Loads'!D301</f>
        <v>0</v>
      </c>
      <c r="C128" s="10"/>
    </row>
    <row r="129" spans="1:3">
      <c r="A129" s="11" t="s">
        <v>183</v>
      </c>
      <c r="B129" s="17">
        <f>'Loads'!B302+'Loads'!C302+'Loads'!D302</f>
        <v>0</v>
      </c>
      <c r="C129" s="10"/>
    </row>
    <row r="130" spans="1:3">
      <c r="A130" s="11" t="s">
        <v>184</v>
      </c>
      <c r="B130" s="17">
        <f>'Loads'!B303+'Loads'!C303+'Loads'!D303</f>
        <v>0</v>
      </c>
      <c r="C130" s="10"/>
    </row>
    <row r="131" spans="1:3">
      <c r="A131" s="11" t="s">
        <v>185</v>
      </c>
      <c r="B131" s="17">
        <f>'Loads'!B304+'Loads'!C304+'Loads'!D304</f>
        <v>0</v>
      </c>
      <c r="C131" s="10"/>
    </row>
    <row r="132" spans="1:3">
      <c r="A132" s="11" t="s">
        <v>193</v>
      </c>
      <c r="B132" s="17">
        <f>'Loads'!B305+'Loads'!C305+'Loads'!D305</f>
        <v>0</v>
      </c>
      <c r="C132" s="10"/>
    </row>
    <row r="133" spans="1:3">
      <c r="A133" s="11" t="s">
        <v>194</v>
      </c>
      <c r="B133" s="17">
        <f>'Loads'!B306+'Loads'!C306+'Loads'!D306</f>
        <v>0</v>
      </c>
      <c r="C133" s="10"/>
    </row>
    <row r="135" spans="1:3">
      <c r="A135" s="1" t="s">
        <v>571</v>
      </c>
    </row>
    <row r="136" spans="1:3">
      <c r="A136" s="2" t="s">
        <v>349</v>
      </c>
    </row>
    <row r="137" spans="1:3">
      <c r="A137" s="12" t="s">
        <v>572</v>
      </c>
    </row>
    <row r="138" spans="1:3">
      <c r="A138" s="12" t="s">
        <v>573</v>
      </c>
    </row>
    <row r="139" spans="1:3">
      <c r="A139" s="12" t="s">
        <v>574</v>
      </c>
    </row>
    <row r="140" spans="1:3">
      <c r="A140" s="12" t="s">
        <v>575</v>
      </c>
    </row>
    <row r="141" spans="1:3">
      <c r="A141" s="12" t="s">
        <v>576</v>
      </c>
    </row>
    <row r="142" spans="1:3">
      <c r="A142" s="12" t="s">
        <v>577</v>
      </c>
    </row>
    <row r="143" spans="1:3">
      <c r="A143" s="12" t="s">
        <v>578</v>
      </c>
    </row>
    <row r="144" spans="1:3">
      <c r="A144" s="12" t="s">
        <v>579</v>
      </c>
    </row>
    <row r="145" spans="1:6">
      <c r="A145" s="26" t="s">
        <v>352</v>
      </c>
      <c r="B145" s="26" t="s">
        <v>482</v>
      </c>
      <c r="C145" s="26"/>
      <c r="D145" s="26"/>
      <c r="E145" s="26" t="s">
        <v>482</v>
      </c>
    </row>
    <row r="146" spans="1:6">
      <c r="A146" s="26" t="s">
        <v>355</v>
      </c>
      <c r="B146" s="26" t="s">
        <v>580</v>
      </c>
      <c r="C146" s="26"/>
      <c r="D146" s="26"/>
      <c r="E146" s="26" t="s">
        <v>581</v>
      </c>
    </row>
    <row r="148" spans="1:6">
      <c r="B148" s="25" t="s">
        <v>582</v>
      </c>
      <c r="C148" s="25"/>
      <c r="D148" s="25"/>
    </row>
    <row r="149" spans="1:6">
      <c r="B149" s="3" t="s">
        <v>317</v>
      </c>
      <c r="C149" s="3" t="s">
        <v>318</v>
      </c>
      <c r="D149" s="3" t="s">
        <v>319</v>
      </c>
      <c r="E149" s="3" t="s">
        <v>583</v>
      </c>
    </row>
    <row r="150" spans="1:6">
      <c r="A150" s="11" t="s">
        <v>173</v>
      </c>
      <c r="B150" s="29">
        <f>IF($B$110&gt;0,('Loads'!$B$283*B$41+'Loads'!$C$283*B$79)/$B$110,0)</f>
        <v>0</v>
      </c>
      <c r="C150" s="29">
        <f>IF($B$110&gt;0,('Loads'!$B$283*C$41+'Loads'!$C$283*C$79)/$B$110,0)</f>
        <v>0</v>
      </c>
      <c r="D150" s="29">
        <f>IF($B$110&gt;0,('Loads'!$B$283*D$41+'Loads'!$C$283*D$79)/$B$110,0)</f>
        <v>0</v>
      </c>
      <c r="E150" s="6">
        <f>IF($C$13&gt;0,$B150*'Input'!$F$58*24/$C$13,0)</f>
        <v>0</v>
      </c>
      <c r="F150" s="10"/>
    </row>
    <row r="151" spans="1:6">
      <c r="A151" s="11" t="s">
        <v>175</v>
      </c>
      <c r="B151" s="29">
        <f>IF($B$113&gt;0,('Loads'!$B$286*B$43+'Loads'!$C$286*B$80)/$B$113,0)</f>
        <v>0</v>
      </c>
      <c r="C151" s="29">
        <f>IF($B$113&gt;0,('Loads'!$B$286*C$43+'Loads'!$C$286*C$80)/$B$113,0)</f>
        <v>0</v>
      </c>
      <c r="D151" s="29">
        <f>IF($B$113&gt;0,('Loads'!$B$286*D$43+'Loads'!$C$286*D$80)/$B$113,0)</f>
        <v>0</v>
      </c>
      <c r="E151" s="6">
        <f>IF($C$13&gt;0,$B151*'Input'!$F$58*24/$C$13,0)</f>
        <v>0</v>
      </c>
      <c r="F151" s="10"/>
    </row>
    <row r="152" spans="1:6">
      <c r="A152" s="11" t="s">
        <v>176</v>
      </c>
      <c r="B152" s="29">
        <f>IF($B$115&gt;0,('Loads'!$B$288*B$45+'Loads'!$C$288*B$81)/$B$115,0)</f>
        <v>0</v>
      </c>
      <c r="C152" s="29">
        <f>IF($B$115&gt;0,('Loads'!$B$288*C$45+'Loads'!$C$288*C$81)/$B$115,0)</f>
        <v>0</v>
      </c>
      <c r="D152" s="29">
        <f>IF($B$115&gt;0,('Loads'!$B$288*D$45+'Loads'!$C$288*D$81)/$B$115,0)</f>
        <v>0</v>
      </c>
      <c r="E152" s="6">
        <f>IF($C$13&gt;0,$B152*'Input'!$F$58*24/$C$13,0)</f>
        <v>0</v>
      </c>
      <c r="F152" s="10"/>
    </row>
    <row r="153" spans="1:6">
      <c r="A153" s="11" t="s">
        <v>177</v>
      </c>
      <c r="B153" s="29">
        <f>IF($B$116&gt;0,('Loads'!$B$289*B$46+'Loads'!$C$289*B$82)/$B$116,0)</f>
        <v>0</v>
      </c>
      <c r="C153" s="29">
        <f>IF($B$116&gt;0,('Loads'!$B$289*C$46+'Loads'!$C$289*C$82)/$B$116,0)</f>
        <v>0</v>
      </c>
      <c r="D153" s="29">
        <f>IF($B$116&gt;0,('Loads'!$B$289*D$46+'Loads'!$C$289*D$82)/$B$116,0)</f>
        <v>0</v>
      </c>
      <c r="E153" s="6">
        <f>IF($C$13&gt;0,$B153*'Input'!$F$58*24/$C$13,0)</f>
        <v>0</v>
      </c>
      <c r="F153" s="10"/>
    </row>
    <row r="154" spans="1:6">
      <c r="A154" s="11" t="s">
        <v>191</v>
      </c>
      <c r="B154" s="29">
        <f>IF($B$117&gt;0,('Loads'!$B$290*B$47+'Loads'!$C$290*B$83)/$B$117,0)</f>
        <v>0</v>
      </c>
      <c r="C154" s="29">
        <f>IF($B$117&gt;0,('Loads'!$B$290*C$47+'Loads'!$C$290*C$83)/$B$117,0)</f>
        <v>0</v>
      </c>
      <c r="D154" s="29">
        <f>IF($B$117&gt;0,('Loads'!$B$290*D$47+'Loads'!$C$290*D$83)/$B$117,0)</f>
        <v>0</v>
      </c>
      <c r="E154" s="6">
        <f>IF($C$13&gt;0,$B154*'Input'!$F$58*24/$C$13,0)</f>
        <v>0</v>
      </c>
      <c r="F154" s="10"/>
    </row>
    <row r="156" spans="1:6">
      <c r="A156" s="1" t="s">
        <v>584</v>
      </c>
    </row>
    <row r="157" spans="1:6">
      <c r="A157" s="2" t="s">
        <v>349</v>
      </c>
    </row>
    <row r="158" spans="1:6">
      <c r="A158" s="12" t="s">
        <v>572</v>
      </c>
    </row>
    <row r="159" spans="1:6">
      <c r="A159" s="12" t="s">
        <v>573</v>
      </c>
    </row>
    <row r="160" spans="1:6">
      <c r="A160" s="12" t="s">
        <v>574</v>
      </c>
    </row>
    <row r="161" spans="1:6">
      <c r="A161" s="12" t="s">
        <v>575</v>
      </c>
    </row>
    <row r="162" spans="1:6">
      <c r="A162" s="12" t="s">
        <v>576</v>
      </c>
    </row>
    <row r="163" spans="1:6">
      <c r="A163" s="12" t="s">
        <v>585</v>
      </c>
    </row>
    <row r="164" spans="1:6">
      <c r="A164" s="12" t="s">
        <v>586</v>
      </c>
    </row>
    <row r="165" spans="1:6">
      <c r="A165" s="12" t="s">
        <v>587</v>
      </c>
    </row>
    <row r="166" spans="1:6">
      <c r="A166" s="12" t="s">
        <v>588</v>
      </c>
    </row>
    <row r="167" spans="1:6">
      <c r="A167" s="12" t="s">
        <v>589</v>
      </c>
    </row>
    <row r="168" spans="1:6">
      <c r="A168" s="26" t="s">
        <v>352</v>
      </c>
      <c r="B168" s="26" t="s">
        <v>482</v>
      </c>
      <c r="C168" s="26"/>
      <c r="D168" s="26"/>
      <c r="E168" s="26" t="s">
        <v>482</v>
      </c>
    </row>
    <row r="169" spans="1:6">
      <c r="A169" s="26" t="s">
        <v>355</v>
      </c>
      <c r="B169" s="26" t="s">
        <v>590</v>
      </c>
      <c r="C169" s="26"/>
      <c r="D169" s="26"/>
      <c r="E169" s="26" t="s">
        <v>591</v>
      </c>
    </row>
    <row r="171" spans="1:6">
      <c r="B171" s="25" t="s">
        <v>592</v>
      </c>
      <c r="C171" s="25"/>
      <c r="D171" s="25"/>
    </row>
    <row r="172" spans="1:6">
      <c r="B172" s="3" t="s">
        <v>317</v>
      </c>
      <c r="C172" s="3" t="s">
        <v>318</v>
      </c>
      <c r="D172" s="3" t="s">
        <v>319</v>
      </c>
      <c r="E172" s="3" t="s">
        <v>593</v>
      </c>
    </row>
    <row r="173" spans="1:6">
      <c r="A173" s="11" t="s">
        <v>178</v>
      </c>
      <c r="B173" s="29">
        <f>IF($B$118&gt;0,('Loads'!$B$291*B$48+'Loads'!$C$291*B$84+'Loads'!$D$291*B$94)/$B$118,0)</f>
        <v>0</v>
      </c>
      <c r="C173" s="29">
        <f>IF($B$118&gt;0,('Loads'!$B$291*C$48+'Loads'!$C$291*C$84+'Loads'!$D$291*C$94)/$B$118,0)</f>
        <v>0</v>
      </c>
      <c r="D173" s="29">
        <f>IF($B$118&gt;0,('Loads'!$B$291*D$48+'Loads'!$C$291*D$84+'Loads'!$D$291*D$94)/$B$118,0)</f>
        <v>0</v>
      </c>
      <c r="E173" s="6">
        <f>IF($C$13&gt;0,$B173*'Input'!$F$58*24/$C$13,0)</f>
        <v>0</v>
      </c>
      <c r="F173" s="10"/>
    </row>
    <row r="174" spans="1:6">
      <c r="A174" s="11" t="s">
        <v>179</v>
      </c>
      <c r="B174" s="29">
        <f>IF($B$119&gt;0,('Loads'!$B$292*B$49+'Loads'!$C$292*B$85+'Loads'!$D$292*B$95)/$B$119,0)</f>
        <v>0</v>
      </c>
      <c r="C174" s="29">
        <f>IF($B$119&gt;0,('Loads'!$B$292*C$49+'Loads'!$C$292*C$85+'Loads'!$D$292*C$95)/$B$119,0)</f>
        <v>0</v>
      </c>
      <c r="D174" s="29">
        <f>IF($B$119&gt;0,('Loads'!$B$292*D$49+'Loads'!$C$292*D$85+'Loads'!$D$292*D$95)/$B$119,0)</f>
        <v>0</v>
      </c>
      <c r="E174" s="6">
        <f>IF($C$13&gt;0,$B174*'Input'!$F$58*24/$C$13,0)</f>
        <v>0</v>
      </c>
      <c r="F174" s="10"/>
    </row>
    <row r="175" spans="1:6">
      <c r="A175" s="11" t="s">
        <v>192</v>
      </c>
      <c r="B175" s="29">
        <f>IF($B$120&gt;0,('Loads'!$B$293*B$50+'Loads'!$C$293*B$86+'Loads'!$D$293*B$96)/$B$120,0)</f>
        <v>0</v>
      </c>
      <c r="C175" s="29">
        <f>IF($B$120&gt;0,('Loads'!$B$293*C$50+'Loads'!$C$293*C$86+'Loads'!$D$293*C$96)/$B$120,0)</f>
        <v>0</v>
      </c>
      <c r="D175" s="29">
        <f>IF($B$120&gt;0,('Loads'!$B$293*D$50+'Loads'!$C$293*D$86+'Loads'!$D$293*D$96)/$B$120,0)</f>
        <v>0</v>
      </c>
      <c r="E175" s="6">
        <f>IF($C$13&gt;0,$B175*'Input'!$F$58*24/$C$13,0)</f>
        <v>0</v>
      </c>
      <c r="F175" s="10"/>
    </row>
    <row r="177" spans="1:4">
      <c r="A177" s="1" t="s">
        <v>594</v>
      </c>
    </row>
    <row r="178" spans="1:4">
      <c r="A178" s="2" t="s">
        <v>349</v>
      </c>
    </row>
    <row r="179" spans="1:4">
      <c r="A179" s="12" t="s">
        <v>595</v>
      </c>
    </row>
    <row r="180" spans="1:4">
      <c r="A180" s="12" t="s">
        <v>596</v>
      </c>
    </row>
    <row r="181" spans="1:4">
      <c r="A181" s="12" t="s">
        <v>597</v>
      </c>
    </row>
    <row r="182" spans="1:4">
      <c r="A182" s="12" t="s">
        <v>598</v>
      </c>
    </row>
    <row r="183" spans="1:4">
      <c r="A183" s="26" t="s">
        <v>352</v>
      </c>
      <c r="B183" s="26" t="s">
        <v>516</v>
      </c>
      <c r="C183" s="26" t="s">
        <v>482</v>
      </c>
    </row>
    <row r="184" spans="1:4">
      <c r="A184" s="26" t="s">
        <v>355</v>
      </c>
      <c r="B184" s="26" t="s">
        <v>599</v>
      </c>
      <c r="C184" s="26" t="s">
        <v>600</v>
      </c>
    </row>
    <row r="186" spans="1:4">
      <c r="B186" s="3" t="s">
        <v>601</v>
      </c>
      <c r="C186" s="3" t="s">
        <v>602</v>
      </c>
    </row>
    <row r="187" spans="1:4">
      <c r="A187" s="11" t="s">
        <v>173</v>
      </c>
      <c r="B187" s="7">
        <f>E$150</f>
        <v>0</v>
      </c>
      <c r="C187" s="6">
        <f>IF($B187&lt;&gt;0,'Loads'!B$45/$B187,IF('Loads'!B$45&lt;0,-1,1))</f>
        <v>0</v>
      </c>
      <c r="D187" s="10"/>
    </row>
    <row r="188" spans="1:4">
      <c r="A188" s="11" t="s">
        <v>210</v>
      </c>
      <c r="B188" s="9"/>
      <c r="C188" s="6">
        <f>IF($B188&lt;&gt;0,'Loads'!B$46/$B188,IF('Loads'!B$46&lt;0,-1,1))</f>
        <v>0</v>
      </c>
      <c r="D188" s="10"/>
    </row>
    <row r="189" spans="1:4">
      <c r="A189" s="11" t="s">
        <v>175</v>
      </c>
      <c r="B189" s="7">
        <f>E$151</f>
        <v>0</v>
      </c>
      <c r="C189" s="6">
        <f>IF($B189&lt;&gt;0,'Loads'!B$48/$B189,IF('Loads'!B$48&lt;0,-1,1))</f>
        <v>0</v>
      </c>
      <c r="D189" s="10"/>
    </row>
    <row r="190" spans="1:4">
      <c r="A190" s="11" t="s">
        <v>211</v>
      </c>
      <c r="B190" s="9"/>
      <c r="C190" s="6">
        <f>IF($B190&lt;&gt;0,'Loads'!B$49/$B190,IF('Loads'!B$49&lt;0,-1,1))</f>
        <v>0</v>
      </c>
      <c r="D190" s="10"/>
    </row>
    <row r="191" spans="1:4">
      <c r="A191" s="11" t="s">
        <v>176</v>
      </c>
      <c r="B191" s="7">
        <f>E$152</f>
        <v>0</v>
      </c>
      <c r="C191" s="6">
        <f>IF($B191&lt;&gt;0,'Loads'!B$50/$B191,IF('Loads'!B$50&lt;0,-1,1))</f>
        <v>0</v>
      </c>
      <c r="D191" s="10"/>
    </row>
    <row r="192" spans="1:4">
      <c r="A192" s="11" t="s">
        <v>177</v>
      </c>
      <c r="B192" s="7">
        <f>E$153</f>
        <v>0</v>
      </c>
      <c r="C192" s="6">
        <f>IF($B192&lt;&gt;0,'Loads'!B$51/$B192,IF('Loads'!B$51&lt;0,-1,1))</f>
        <v>0</v>
      </c>
      <c r="D192" s="10"/>
    </row>
    <row r="193" spans="1:5">
      <c r="A193" s="11" t="s">
        <v>191</v>
      </c>
      <c r="B193" s="7">
        <f>E$154</f>
        <v>0</v>
      </c>
      <c r="C193" s="6">
        <f>IF($B193&lt;&gt;0,'Loads'!B$52/$B193,IF('Loads'!B$52&lt;0,-1,1))</f>
        <v>0</v>
      </c>
      <c r="D193" s="10"/>
    </row>
    <row r="194" spans="1:5">
      <c r="A194" s="11" t="s">
        <v>178</v>
      </c>
      <c r="B194" s="7">
        <f>E$173</f>
        <v>0</v>
      </c>
      <c r="C194" s="6">
        <f>IF($B194&lt;&gt;0,'Loads'!B$53/$B194,IF('Loads'!B$53&lt;0,-1,1))</f>
        <v>0</v>
      </c>
      <c r="D194" s="10"/>
    </row>
    <row r="195" spans="1:5">
      <c r="A195" s="11" t="s">
        <v>179</v>
      </c>
      <c r="B195" s="7">
        <f>E$174</f>
        <v>0</v>
      </c>
      <c r="C195" s="6">
        <f>IF($B195&lt;&gt;0,'Loads'!B$54/$B195,IF('Loads'!B$54&lt;0,-1,1))</f>
        <v>0</v>
      </c>
      <c r="D195" s="10"/>
    </row>
    <row r="196" spans="1:5">
      <c r="A196" s="11" t="s">
        <v>192</v>
      </c>
      <c r="B196" s="7">
        <f>E$175</f>
        <v>0</v>
      </c>
      <c r="C196" s="6">
        <f>IF($B196&lt;&gt;0,'Loads'!B$55/$B196,IF('Loads'!B$55&lt;0,-1,1))</f>
        <v>0</v>
      </c>
      <c r="D196" s="10"/>
    </row>
    <row r="197" spans="1:5">
      <c r="A197" s="11" t="s">
        <v>183</v>
      </c>
      <c r="B197" s="9"/>
      <c r="C197" s="6">
        <f>IF($B197&lt;&gt;0,'Loads'!B$64/$B197,IF('Loads'!B$64&lt;0,-1,1))</f>
        <v>0</v>
      </c>
      <c r="D197" s="10"/>
    </row>
    <row r="198" spans="1:5">
      <c r="A198" s="11" t="s">
        <v>185</v>
      </c>
      <c r="B198" s="9"/>
      <c r="C198" s="6">
        <f>IF($B198&lt;&gt;0,'Loads'!B$66/$B198,IF('Loads'!B$66&lt;0,-1,1))</f>
        <v>0</v>
      </c>
      <c r="D198" s="10"/>
    </row>
    <row r="199" spans="1:5">
      <c r="A199" s="11" t="s">
        <v>194</v>
      </c>
      <c r="B199" s="9"/>
      <c r="C199" s="6">
        <f>IF($B199&lt;&gt;0,'Loads'!B$68/$B199,IF('Loads'!B$68&lt;0,-1,1))</f>
        <v>0</v>
      </c>
      <c r="D199" s="10"/>
    </row>
    <row r="201" spans="1:5">
      <c r="A201" s="1" t="s">
        <v>603</v>
      </c>
    </row>
    <row r="202" spans="1:5">
      <c r="A202" s="2" t="s">
        <v>349</v>
      </c>
    </row>
    <row r="203" spans="1:5">
      <c r="A203" s="12" t="s">
        <v>604</v>
      </c>
    </row>
    <row r="204" spans="1:5">
      <c r="A204" s="12" t="s">
        <v>605</v>
      </c>
    </row>
    <row r="205" spans="1:5">
      <c r="A205" s="12" t="s">
        <v>606</v>
      </c>
    </row>
    <row r="206" spans="1:5">
      <c r="A206" s="12" t="s">
        <v>607</v>
      </c>
    </row>
    <row r="207" spans="1:5">
      <c r="A207" s="26" t="s">
        <v>352</v>
      </c>
      <c r="B207" s="26" t="s">
        <v>483</v>
      </c>
      <c r="C207" s="26" t="s">
        <v>482</v>
      </c>
      <c r="D207" s="26"/>
      <c r="E207" s="26"/>
    </row>
    <row r="208" spans="1:5">
      <c r="A208" s="26" t="s">
        <v>355</v>
      </c>
      <c r="B208" s="26" t="s">
        <v>533</v>
      </c>
      <c r="C208" s="26" t="s">
        <v>608</v>
      </c>
      <c r="D208" s="26"/>
      <c r="E208" s="26"/>
    </row>
    <row r="210" spans="1:6">
      <c r="C210" s="25" t="s">
        <v>610</v>
      </c>
      <c r="D210" s="25"/>
      <c r="E210" s="25"/>
    </row>
    <row r="211" spans="1:6">
      <c r="B211" s="3" t="s">
        <v>609</v>
      </c>
      <c r="C211" s="3" t="s">
        <v>317</v>
      </c>
      <c r="D211" s="3" t="s">
        <v>318</v>
      </c>
      <c r="E211" s="3" t="s">
        <v>319</v>
      </c>
    </row>
    <row r="212" spans="1:6">
      <c r="A212" s="11" t="s">
        <v>140</v>
      </c>
      <c r="B212" s="29">
        <f>SUM('Input'!$B341:$D341)</f>
        <v>0</v>
      </c>
      <c r="C212" s="29">
        <f>IF($B212,'Input'!B341/$B212,'Input'!B$334/$B$13)</f>
        <v>0</v>
      </c>
      <c r="D212" s="29">
        <f>IF($B212,'Input'!C341/$B212,'Input'!C$334/$B$13)</f>
        <v>0</v>
      </c>
      <c r="E212" s="29">
        <f>IF($B212,'Input'!D341/$B212,'Input'!D$334/$B$13)</f>
        <v>0</v>
      </c>
      <c r="F212" s="10"/>
    </row>
    <row r="213" spans="1:6">
      <c r="A213" s="11" t="s">
        <v>141</v>
      </c>
      <c r="B213" s="29">
        <f>SUM('Input'!$B342:$D342)</f>
        <v>0</v>
      </c>
      <c r="C213" s="29">
        <f>IF($B213,'Input'!B342/$B213,'Input'!B$334/$B$13)</f>
        <v>0</v>
      </c>
      <c r="D213" s="29">
        <f>IF($B213,'Input'!C342/$B213,'Input'!C$334/$B$13)</f>
        <v>0</v>
      </c>
      <c r="E213" s="29">
        <f>IF($B213,'Input'!D342/$B213,'Input'!D$334/$B$13)</f>
        <v>0</v>
      </c>
      <c r="F213" s="10"/>
    </row>
    <row r="214" spans="1:6">
      <c r="A214" s="11" t="s">
        <v>142</v>
      </c>
      <c r="B214" s="29">
        <f>SUM('Input'!$B343:$D343)</f>
        <v>0</v>
      </c>
      <c r="C214" s="29">
        <f>IF($B214,'Input'!B343/$B214,'Input'!B$334/$B$13)</f>
        <v>0</v>
      </c>
      <c r="D214" s="29">
        <f>IF($B214,'Input'!C343/$B214,'Input'!C$334/$B$13)</f>
        <v>0</v>
      </c>
      <c r="E214" s="29">
        <f>IF($B214,'Input'!D343/$B214,'Input'!D$334/$B$13)</f>
        <v>0</v>
      </c>
      <c r="F214" s="10"/>
    </row>
    <row r="215" spans="1:6">
      <c r="A215" s="11" t="s">
        <v>143</v>
      </c>
      <c r="B215" s="29">
        <f>SUM('Input'!$B344:$D344)</f>
        <v>0</v>
      </c>
      <c r="C215" s="29">
        <f>IF($B215,'Input'!B344/$B215,'Input'!B$334/$B$13)</f>
        <v>0</v>
      </c>
      <c r="D215" s="29">
        <f>IF($B215,'Input'!C344/$B215,'Input'!C$334/$B$13)</f>
        <v>0</v>
      </c>
      <c r="E215" s="29">
        <f>IF($B215,'Input'!D344/$B215,'Input'!D$334/$B$13)</f>
        <v>0</v>
      </c>
      <c r="F215" s="10"/>
    </row>
    <row r="216" spans="1:6">
      <c r="A216" s="11" t="s">
        <v>144</v>
      </c>
      <c r="B216" s="29">
        <f>SUM('Input'!$B345:$D345)</f>
        <v>0</v>
      </c>
      <c r="C216" s="29">
        <f>IF($B216,'Input'!B345/$B216,'Input'!B$334/$B$13)</f>
        <v>0</v>
      </c>
      <c r="D216" s="29">
        <f>IF($B216,'Input'!C345/$B216,'Input'!C$334/$B$13)</f>
        <v>0</v>
      </c>
      <c r="E216" s="29">
        <f>IF($B216,'Input'!D345/$B216,'Input'!D$334/$B$13)</f>
        <v>0</v>
      </c>
      <c r="F216" s="10"/>
    </row>
    <row r="217" spans="1:6">
      <c r="A217" s="11" t="s">
        <v>149</v>
      </c>
      <c r="B217" s="29">
        <f>SUM('Input'!$B346:$D346)</f>
        <v>0</v>
      </c>
      <c r="C217" s="29">
        <f>IF($B217,'Input'!B346/$B217,'Input'!B$334/$B$13)</f>
        <v>0</v>
      </c>
      <c r="D217" s="29">
        <f>IF($B217,'Input'!C346/$B217,'Input'!C$334/$B$13)</f>
        <v>0</v>
      </c>
      <c r="E217" s="29">
        <f>IF($B217,'Input'!D346/$B217,'Input'!D$334/$B$13)</f>
        <v>0</v>
      </c>
      <c r="F217" s="10"/>
    </row>
    <row r="218" spans="1:6">
      <c r="A218" s="11" t="s">
        <v>145</v>
      </c>
      <c r="B218" s="29">
        <f>SUM('Input'!$B347:$D347)</f>
        <v>0</v>
      </c>
      <c r="C218" s="29">
        <f>IF($B218,'Input'!B347/$B218,'Input'!B$334/$B$13)</f>
        <v>0</v>
      </c>
      <c r="D218" s="29">
        <f>IF($B218,'Input'!C347/$B218,'Input'!C$334/$B$13)</f>
        <v>0</v>
      </c>
      <c r="E218" s="29">
        <f>IF($B218,'Input'!D347/$B218,'Input'!D$334/$B$13)</f>
        <v>0</v>
      </c>
      <c r="F218" s="10"/>
    </row>
    <row r="219" spans="1:6">
      <c r="A219" s="11" t="s">
        <v>146</v>
      </c>
      <c r="B219" s="29">
        <f>SUM('Input'!$B348:$D348)</f>
        <v>0</v>
      </c>
      <c r="C219" s="29">
        <f>IF($B219,'Input'!B348/$B219,'Input'!B$334/$B$13)</f>
        <v>0</v>
      </c>
      <c r="D219" s="29">
        <f>IF($B219,'Input'!C348/$B219,'Input'!C$334/$B$13)</f>
        <v>0</v>
      </c>
      <c r="E219" s="29">
        <f>IF($B219,'Input'!D348/$B219,'Input'!D$334/$B$13)</f>
        <v>0</v>
      </c>
      <c r="F219" s="10"/>
    </row>
    <row r="220" spans="1:6">
      <c r="A220" s="11" t="s">
        <v>147</v>
      </c>
      <c r="B220" s="29">
        <f>SUM('Input'!$B349:$D349)</f>
        <v>0</v>
      </c>
      <c r="C220" s="29">
        <f>IF($B220,'Input'!B349/$B220,'Input'!B$334/$B$13)</f>
        <v>0</v>
      </c>
      <c r="D220" s="29">
        <f>IF($B220,'Input'!C349/$B220,'Input'!C$334/$B$13)</f>
        <v>0</v>
      </c>
      <c r="E220" s="29">
        <f>IF($B220,'Input'!D349/$B220,'Input'!D$334/$B$13)</f>
        <v>0</v>
      </c>
      <c r="F220" s="10"/>
    </row>
    <row r="222" spans="1:6">
      <c r="A222" s="1" t="s">
        <v>611</v>
      </c>
    </row>
    <row r="223" spans="1:6">
      <c r="A223" s="2" t="s">
        <v>349</v>
      </c>
    </row>
    <row r="224" spans="1:6">
      <c r="A224" s="12" t="s">
        <v>612</v>
      </c>
    </row>
    <row r="225" spans="1:38">
      <c r="A225" s="2" t="s">
        <v>613</v>
      </c>
    </row>
    <row r="227" spans="1:38">
      <c r="B227" s="22" t="s">
        <v>140</v>
      </c>
      <c r="C227" s="3" t="s">
        <v>317</v>
      </c>
      <c r="D227" s="3" t="s">
        <v>318</v>
      </c>
      <c r="E227" s="3" t="s">
        <v>319</v>
      </c>
      <c r="F227" s="22" t="s">
        <v>141</v>
      </c>
      <c r="G227" s="3" t="s">
        <v>317</v>
      </c>
      <c r="H227" s="3" t="s">
        <v>318</v>
      </c>
      <c r="I227" s="3" t="s">
        <v>319</v>
      </c>
      <c r="J227" s="22" t="s">
        <v>142</v>
      </c>
      <c r="K227" s="3" t="s">
        <v>317</v>
      </c>
      <c r="L227" s="3" t="s">
        <v>318</v>
      </c>
      <c r="M227" s="3" t="s">
        <v>319</v>
      </c>
      <c r="N227" s="22" t="s">
        <v>143</v>
      </c>
      <c r="O227" s="3" t="s">
        <v>317</v>
      </c>
      <c r="P227" s="3" t="s">
        <v>318</v>
      </c>
      <c r="Q227" s="3" t="s">
        <v>319</v>
      </c>
      <c r="R227" s="22" t="s">
        <v>144</v>
      </c>
      <c r="S227" s="3" t="s">
        <v>317</v>
      </c>
      <c r="T227" s="3" t="s">
        <v>318</v>
      </c>
      <c r="U227" s="3" t="s">
        <v>319</v>
      </c>
      <c r="V227" s="22" t="s">
        <v>149</v>
      </c>
      <c r="W227" s="3" t="s">
        <v>317</v>
      </c>
      <c r="X227" s="3" t="s">
        <v>318</v>
      </c>
      <c r="Y227" s="3" t="s">
        <v>319</v>
      </c>
      <c r="Z227" s="22" t="s">
        <v>145</v>
      </c>
      <c r="AA227" s="3" t="s">
        <v>317</v>
      </c>
      <c r="AB227" s="3" t="s">
        <v>318</v>
      </c>
      <c r="AC227" s="3" t="s">
        <v>319</v>
      </c>
      <c r="AD227" s="22" t="s">
        <v>146</v>
      </c>
      <c r="AE227" s="3" t="s">
        <v>317</v>
      </c>
      <c r="AF227" s="3" t="s">
        <v>318</v>
      </c>
      <c r="AG227" s="3" t="s">
        <v>319</v>
      </c>
      <c r="AH227" s="22" t="s">
        <v>147</v>
      </c>
      <c r="AI227" s="3" t="s">
        <v>317</v>
      </c>
      <c r="AJ227" s="3" t="s">
        <v>318</v>
      </c>
      <c r="AK227" s="3" t="s">
        <v>319</v>
      </c>
    </row>
    <row r="228" spans="1:38">
      <c r="A228" s="11" t="s">
        <v>614</v>
      </c>
      <c r="C228" s="31">
        <f>C$212</f>
        <v>0</v>
      </c>
      <c r="D228" s="31">
        <f>D$212</f>
        <v>0</v>
      </c>
      <c r="E228" s="31">
        <f>E$212</f>
        <v>0</v>
      </c>
      <c r="G228" s="31">
        <f>C$213</f>
        <v>0</v>
      </c>
      <c r="H228" s="31">
        <f>D$213</f>
        <v>0</v>
      </c>
      <c r="I228" s="31">
        <f>E$213</f>
        <v>0</v>
      </c>
      <c r="K228" s="31">
        <f>C$214</f>
        <v>0</v>
      </c>
      <c r="L228" s="31">
        <f>D$214</f>
        <v>0</v>
      </c>
      <c r="M228" s="31">
        <f>E$214</f>
        <v>0</v>
      </c>
      <c r="O228" s="31">
        <f>C$215</f>
        <v>0</v>
      </c>
      <c r="P228" s="31">
        <f>D$215</f>
        <v>0</v>
      </c>
      <c r="Q228" s="31">
        <f>E$215</f>
        <v>0</v>
      </c>
      <c r="S228" s="31">
        <f>C$216</f>
        <v>0</v>
      </c>
      <c r="T228" s="31">
        <f>D$216</f>
        <v>0</v>
      </c>
      <c r="U228" s="31">
        <f>E$216</f>
        <v>0</v>
      </c>
      <c r="W228" s="31">
        <f>C$217</f>
        <v>0</v>
      </c>
      <c r="X228" s="31">
        <f>D$217</f>
        <v>0</v>
      </c>
      <c r="Y228" s="31">
        <f>E$217</f>
        <v>0</v>
      </c>
      <c r="AA228" s="31">
        <f>C$218</f>
        <v>0</v>
      </c>
      <c r="AB228" s="31">
        <f>D$218</f>
        <v>0</v>
      </c>
      <c r="AC228" s="31">
        <f>E$218</f>
        <v>0</v>
      </c>
      <c r="AE228" s="31">
        <f>C$219</f>
        <v>0</v>
      </c>
      <c r="AF228" s="31">
        <f>D$219</f>
        <v>0</v>
      </c>
      <c r="AG228" s="31">
        <f>E$219</f>
        <v>0</v>
      </c>
      <c r="AI228" s="31">
        <f>C$220</f>
        <v>0</v>
      </c>
      <c r="AJ228" s="31">
        <f>D$220</f>
        <v>0</v>
      </c>
      <c r="AK228" s="31">
        <f>E$220</f>
        <v>0</v>
      </c>
      <c r="AL228" s="10"/>
    </row>
    <row r="230" spans="1:38">
      <c r="A230" s="1" t="s">
        <v>615</v>
      </c>
    </row>
    <row r="231" spans="1:38">
      <c r="A231" s="2" t="s">
        <v>349</v>
      </c>
    </row>
    <row r="232" spans="1:38">
      <c r="A232" s="12" t="s">
        <v>616</v>
      </c>
    </row>
    <row r="233" spans="1:38">
      <c r="A233" s="12" t="s">
        <v>617</v>
      </c>
    </row>
    <row r="234" spans="1:38">
      <c r="A234" s="12" t="s">
        <v>618</v>
      </c>
    </row>
    <row r="235" spans="1:38">
      <c r="A235" s="12" t="s">
        <v>550</v>
      </c>
    </row>
    <row r="236" spans="1:38">
      <c r="A236" s="2" t="s">
        <v>619</v>
      </c>
    </row>
    <row r="238" spans="1:38">
      <c r="B238" s="22" t="s">
        <v>140</v>
      </c>
      <c r="C238" s="3" t="s">
        <v>317</v>
      </c>
      <c r="D238" s="3" t="s">
        <v>318</v>
      </c>
      <c r="E238" s="3" t="s">
        <v>319</v>
      </c>
      <c r="F238" s="22" t="s">
        <v>141</v>
      </c>
      <c r="G238" s="3" t="s">
        <v>317</v>
      </c>
      <c r="H238" s="3" t="s">
        <v>318</v>
      </c>
      <c r="I238" s="3" t="s">
        <v>319</v>
      </c>
      <c r="J238" s="22" t="s">
        <v>142</v>
      </c>
      <c r="K238" s="3" t="s">
        <v>317</v>
      </c>
      <c r="L238" s="3" t="s">
        <v>318</v>
      </c>
      <c r="M238" s="3" t="s">
        <v>319</v>
      </c>
      <c r="N238" s="22" t="s">
        <v>143</v>
      </c>
      <c r="O238" s="3" t="s">
        <v>317</v>
      </c>
      <c r="P238" s="3" t="s">
        <v>318</v>
      </c>
      <c r="Q238" s="3" t="s">
        <v>319</v>
      </c>
      <c r="R238" s="22" t="s">
        <v>144</v>
      </c>
      <c r="S238" s="3" t="s">
        <v>317</v>
      </c>
      <c r="T238" s="3" t="s">
        <v>318</v>
      </c>
      <c r="U238" s="3" t="s">
        <v>319</v>
      </c>
      <c r="V238" s="22" t="s">
        <v>149</v>
      </c>
      <c r="W238" s="3" t="s">
        <v>317</v>
      </c>
      <c r="X238" s="3" t="s">
        <v>318</v>
      </c>
      <c r="Y238" s="3" t="s">
        <v>319</v>
      </c>
      <c r="Z238" s="22" t="s">
        <v>145</v>
      </c>
      <c r="AA238" s="3" t="s">
        <v>317</v>
      </c>
      <c r="AB238" s="3" t="s">
        <v>318</v>
      </c>
      <c r="AC238" s="3" t="s">
        <v>319</v>
      </c>
      <c r="AD238" s="22" t="s">
        <v>146</v>
      </c>
      <c r="AE238" s="3" t="s">
        <v>317</v>
      </c>
      <c r="AF238" s="3" t="s">
        <v>318</v>
      </c>
      <c r="AG238" s="3" t="s">
        <v>319</v>
      </c>
      <c r="AH238" s="22" t="s">
        <v>147</v>
      </c>
      <c r="AI238" s="3" t="s">
        <v>317</v>
      </c>
      <c r="AJ238" s="3" t="s">
        <v>318</v>
      </c>
      <c r="AK238" s="3" t="s">
        <v>319</v>
      </c>
    </row>
    <row r="239" spans="1:38">
      <c r="A239" s="11" t="s">
        <v>173</v>
      </c>
      <c r="C239" s="6">
        <f>IF(C$13&gt;0,$C187*C$228*24*'Input'!$F$58/C$13,0)</f>
        <v>0</v>
      </c>
      <c r="D239" s="6">
        <f>IF(D$13&gt;0,$C187*D$228*24*'Input'!$F$58/D$13,0)</f>
        <v>0</v>
      </c>
      <c r="E239" s="6">
        <f>IF(E$13&gt;0,$C187*E$228*24*'Input'!$F$58/E$13,0)</f>
        <v>0</v>
      </c>
      <c r="G239" s="6">
        <f>IF(C$13&gt;0,$C187*G$228*24*'Input'!$F$58/C$13,0)</f>
        <v>0</v>
      </c>
      <c r="H239" s="6">
        <f>IF(D$13&gt;0,$C187*H$228*24*'Input'!$F$58/D$13,0)</f>
        <v>0</v>
      </c>
      <c r="I239" s="6">
        <f>IF(E$13&gt;0,$C187*I$228*24*'Input'!$F$58/E$13,0)</f>
        <v>0</v>
      </c>
      <c r="K239" s="6">
        <f>IF(C$13&gt;0,$C187*K$228*24*'Input'!$F$58/C$13,0)</f>
        <v>0</v>
      </c>
      <c r="L239" s="6">
        <f>IF(D$13&gt;0,$C187*L$228*24*'Input'!$F$58/D$13,0)</f>
        <v>0</v>
      </c>
      <c r="M239" s="6">
        <f>IF(E$13&gt;0,$C187*M$228*24*'Input'!$F$58/E$13,0)</f>
        <v>0</v>
      </c>
      <c r="O239" s="6">
        <f>IF(C$13&gt;0,$C187*O$228*24*'Input'!$F$58/C$13,0)</f>
        <v>0</v>
      </c>
      <c r="P239" s="6">
        <f>IF(D$13&gt;0,$C187*P$228*24*'Input'!$F$58/D$13,0)</f>
        <v>0</v>
      </c>
      <c r="Q239" s="6">
        <f>IF(E$13&gt;0,$C187*Q$228*24*'Input'!$F$58/E$13,0)</f>
        <v>0</v>
      </c>
      <c r="S239" s="6">
        <f>IF(C$13&gt;0,$C187*S$228*24*'Input'!$F$58/C$13,0)</f>
        <v>0</v>
      </c>
      <c r="T239" s="6">
        <f>IF(D$13&gt;0,$C187*T$228*24*'Input'!$F$58/D$13,0)</f>
        <v>0</v>
      </c>
      <c r="U239" s="6">
        <f>IF(E$13&gt;0,$C187*U$228*24*'Input'!$F$58/E$13,0)</f>
        <v>0</v>
      </c>
      <c r="W239" s="6">
        <f>IF(C$13&gt;0,$C187*W$228*24*'Input'!$F$58/C$13,0)</f>
        <v>0</v>
      </c>
      <c r="X239" s="6">
        <f>IF(D$13&gt;0,$C187*X$228*24*'Input'!$F$58/D$13,0)</f>
        <v>0</v>
      </c>
      <c r="Y239" s="6">
        <f>IF(E$13&gt;0,$C187*Y$228*24*'Input'!$F$58/E$13,0)</f>
        <v>0</v>
      </c>
      <c r="AA239" s="6">
        <f>IF(C$13&gt;0,$C187*AA$228*24*'Input'!$F$58/C$13,0)</f>
        <v>0</v>
      </c>
      <c r="AB239" s="6">
        <f>IF(D$13&gt;0,$C187*AB$228*24*'Input'!$F$58/D$13,0)</f>
        <v>0</v>
      </c>
      <c r="AC239" s="6">
        <f>IF(E$13&gt;0,$C187*AC$228*24*'Input'!$F$58/E$13,0)</f>
        <v>0</v>
      </c>
      <c r="AE239" s="6">
        <f>IF(C$13&gt;0,$C187*AE$228*24*'Input'!$F$58/C$13,0)</f>
        <v>0</v>
      </c>
      <c r="AF239" s="6">
        <f>IF(D$13&gt;0,$C187*AF$228*24*'Input'!$F$58/D$13,0)</f>
        <v>0</v>
      </c>
      <c r="AG239" s="6">
        <f>IF(E$13&gt;0,$C187*AG$228*24*'Input'!$F$58/E$13,0)</f>
        <v>0</v>
      </c>
      <c r="AI239" s="6">
        <f>IF(C$13&gt;0,$C187*AI$228*24*'Input'!$F$58/C$13,0)</f>
        <v>0</v>
      </c>
      <c r="AJ239" s="6">
        <f>IF(D$13&gt;0,$C187*AJ$228*24*'Input'!$F$58/D$13,0)</f>
        <v>0</v>
      </c>
      <c r="AK239" s="6">
        <f>IF(E$13&gt;0,$C187*AK$228*24*'Input'!$F$58/E$13,0)</f>
        <v>0</v>
      </c>
      <c r="AL239" s="10"/>
    </row>
    <row r="240" spans="1:38">
      <c r="A240" s="11" t="s">
        <v>210</v>
      </c>
      <c r="C240" s="6">
        <f>IF(C$13&gt;0,$C188*C$228*24*'Input'!$F$58/C$13,0)</f>
        <v>0</v>
      </c>
      <c r="D240" s="6">
        <f>IF(D$13&gt;0,$C188*D$228*24*'Input'!$F$58/D$13,0)</f>
        <v>0</v>
      </c>
      <c r="E240" s="6">
        <f>IF(E$13&gt;0,$C188*E$228*24*'Input'!$F$58/E$13,0)</f>
        <v>0</v>
      </c>
      <c r="G240" s="6">
        <f>IF(C$13&gt;0,$C188*G$228*24*'Input'!$F$58/C$13,0)</f>
        <v>0</v>
      </c>
      <c r="H240" s="6">
        <f>IF(D$13&gt;0,$C188*H$228*24*'Input'!$F$58/D$13,0)</f>
        <v>0</v>
      </c>
      <c r="I240" s="6">
        <f>IF(E$13&gt;0,$C188*I$228*24*'Input'!$F$58/E$13,0)</f>
        <v>0</v>
      </c>
      <c r="K240" s="6">
        <f>IF(C$13&gt;0,$C188*K$228*24*'Input'!$F$58/C$13,0)</f>
        <v>0</v>
      </c>
      <c r="L240" s="6">
        <f>IF(D$13&gt;0,$C188*L$228*24*'Input'!$F$58/D$13,0)</f>
        <v>0</v>
      </c>
      <c r="M240" s="6">
        <f>IF(E$13&gt;0,$C188*M$228*24*'Input'!$F$58/E$13,0)</f>
        <v>0</v>
      </c>
      <c r="O240" s="6">
        <f>IF(C$13&gt;0,$C188*O$228*24*'Input'!$F$58/C$13,0)</f>
        <v>0</v>
      </c>
      <c r="P240" s="6">
        <f>IF(D$13&gt;0,$C188*P$228*24*'Input'!$F$58/D$13,0)</f>
        <v>0</v>
      </c>
      <c r="Q240" s="6">
        <f>IF(E$13&gt;0,$C188*Q$228*24*'Input'!$F$58/E$13,0)</f>
        <v>0</v>
      </c>
      <c r="S240" s="6">
        <f>IF(C$13&gt;0,$C188*S$228*24*'Input'!$F$58/C$13,0)</f>
        <v>0</v>
      </c>
      <c r="T240" s="6">
        <f>IF(D$13&gt;0,$C188*T$228*24*'Input'!$F$58/D$13,0)</f>
        <v>0</v>
      </c>
      <c r="U240" s="6">
        <f>IF(E$13&gt;0,$C188*U$228*24*'Input'!$F$58/E$13,0)</f>
        <v>0</v>
      </c>
      <c r="W240" s="6">
        <f>IF(C$13&gt;0,$C188*W$228*24*'Input'!$F$58/C$13,0)</f>
        <v>0</v>
      </c>
      <c r="X240" s="6">
        <f>IF(D$13&gt;0,$C188*X$228*24*'Input'!$F$58/D$13,0)</f>
        <v>0</v>
      </c>
      <c r="Y240" s="6">
        <f>IF(E$13&gt;0,$C188*Y$228*24*'Input'!$F$58/E$13,0)</f>
        <v>0</v>
      </c>
      <c r="AA240" s="6">
        <f>IF(C$13&gt;0,$C188*AA$228*24*'Input'!$F$58/C$13,0)</f>
        <v>0</v>
      </c>
      <c r="AB240" s="6">
        <f>IF(D$13&gt;0,$C188*AB$228*24*'Input'!$F$58/D$13,0)</f>
        <v>0</v>
      </c>
      <c r="AC240" s="6">
        <f>IF(E$13&gt;0,$C188*AC$228*24*'Input'!$F$58/E$13,0)</f>
        <v>0</v>
      </c>
      <c r="AE240" s="6">
        <f>IF(C$13&gt;0,$C188*AE$228*24*'Input'!$F$58/C$13,0)</f>
        <v>0</v>
      </c>
      <c r="AF240" s="6">
        <f>IF(D$13&gt;0,$C188*AF$228*24*'Input'!$F$58/D$13,0)</f>
        <v>0</v>
      </c>
      <c r="AG240" s="6">
        <f>IF(E$13&gt;0,$C188*AG$228*24*'Input'!$F$58/E$13,0)</f>
        <v>0</v>
      </c>
      <c r="AI240" s="6">
        <f>IF(C$13&gt;0,$C188*AI$228*24*'Input'!$F$58/C$13,0)</f>
        <v>0</v>
      </c>
      <c r="AJ240" s="6">
        <f>IF(D$13&gt;0,$C188*AJ$228*24*'Input'!$F$58/D$13,0)</f>
        <v>0</v>
      </c>
      <c r="AK240" s="6">
        <f>IF(E$13&gt;0,$C188*AK$228*24*'Input'!$F$58/E$13,0)</f>
        <v>0</v>
      </c>
      <c r="AL240" s="10"/>
    </row>
    <row r="241" spans="1:38">
      <c r="A241" s="11" t="s">
        <v>175</v>
      </c>
      <c r="C241" s="6">
        <f>IF(C$13&gt;0,$C189*C$228*24*'Input'!$F$58/C$13,0)</f>
        <v>0</v>
      </c>
      <c r="D241" s="6">
        <f>IF(D$13&gt;0,$C189*D$228*24*'Input'!$F$58/D$13,0)</f>
        <v>0</v>
      </c>
      <c r="E241" s="6">
        <f>IF(E$13&gt;0,$C189*E$228*24*'Input'!$F$58/E$13,0)</f>
        <v>0</v>
      </c>
      <c r="G241" s="6">
        <f>IF(C$13&gt;0,$C189*G$228*24*'Input'!$F$58/C$13,0)</f>
        <v>0</v>
      </c>
      <c r="H241" s="6">
        <f>IF(D$13&gt;0,$C189*H$228*24*'Input'!$F$58/D$13,0)</f>
        <v>0</v>
      </c>
      <c r="I241" s="6">
        <f>IF(E$13&gt;0,$C189*I$228*24*'Input'!$F$58/E$13,0)</f>
        <v>0</v>
      </c>
      <c r="K241" s="6">
        <f>IF(C$13&gt;0,$C189*K$228*24*'Input'!$F$58/C$13,0)</f>
        <v>0</v>
      </c>
      <c r="L241" s="6">
        <f>IF(D$13&gt;0,$C189*L$228*24*'Input'!$F$58/D$13,0)</f>
        <v>0</v>
      </c>
      <c r="M241" s="6">
        <f>IF(E$13&gt;0,$C189*M$228*24*'Input'!$F$58/E$13,0)</f>
        <v>0</v>
      </c>
      <c r="O241" s="6">
        <f>IF(C$13&gt;0,$C189*O$228*24*'Input'!$F$58/C$13,0)</f>
        <v>0</v>
      </c>
      <c r="P241" s="6">
        <f>IF(D$13&gt;0,$C189*P$228*24*'Input'!$F$58/D$13,0)</f>
        <v>0</v>
      </c>
      <c r="Q241" s="6">
        <f>IF(E$13&gt;0,$C189*Q$228*24*'Input'!$F$58/E$13,0)</f>
        <v>0</v>
      </c>
      <c r="S241" s="6">
        <f>IF(C$13&gt;0,$C189*S$228*24*'Input'!$F$58/C$13,0)</f>
        <v>0</v>
      </c>
      <c r="T241" s="6">
        <f>IF(D$13&gt;0,$C189*T$228*24*'Input'!$F$58/D$13,0)</f>
        <v>0</v>
      </c>
      <c r="U241" s="6">
        <f>IF(E$13&gt;0,$C189*U$228*24*'Input'!$F$58/E$13,0)</f>
        <v>0</v>
      </c>
      <c r="W241" s="6">
        <f>IF(C$13&gt;0,$C189*W$228*24*'Input'!$F$58/C$13,0)</f>
        <v>0</v>
      </c>
      <c r="X241" s="6">
        <f>IF(D$13&gt;0,$C189*X$228*24*'Input'!$F$58/D$13,0)</f>
        <v>0</v>
      </c>
      <c r="Y241" s="6">
        <f>IF(E$13&gt;0,$C189*Y$228*24*'Input'!$F$58/E$13,0)</f>
        <v>0</v>
      </c>
      <c r="AA241" s="6">
        <f>IF(C$13&gt;0,$C189*AA$228*24*'Input'!$F$58/C$13,0)</f>
        <v>0</v>
      </c>
      <c r="AB241" s="6">
        <f>IF(D$13&gt;0,$C189*AB$228*24*'Input'!$F$58/D$13,0)</f>
        <v>0</v>
      </c>
      <c r="AC241" s="6">
        <f>IF(E$13&gt;0,$C189*AC$228*24*'Input'!$F$58/E$13,0)</f>
        <v>0</v>
      </c>
      <c r="AE241" s="6">
        <f>IF(C$13&gt;0,$C189*AE$228*24*'Input'!$F$58/C$13,0)</f>
        <v>0</v>
      </c>
      <c r="AF241" s="6">
        <f>IF(D$13&gt;0,$C189*AF$228*24*'Input'!$F$58/D$13,0)</f>
        <v>0</v>
      </c>
      <c r="AG241" s="6">
        <f>IF(E$13&gt;0,$C189*AG$228*24*'Input'!$F$58/E$13,0)</f>
        <v>0</v>
      </c>
      <c r="AI241" s="6">
        <f>IF(C$13&gt;0,$C189*AI$228*24*'Input'!$F$58/C$13,0)</f>
        <v>0</v>
      </c>
      <c r="AJ241" s="6">
        <f>IF(D$13&gt;0,$C189*AJ$228*24*'Input'!$F$58/D$13,0)</f>
        <v>0</v>
      </c>
      <c r="AK241" s="6">
        <f>IF(E$13&gt;0,$C189*AK$228*24*'Input'!$F$58/E$13,0)</f>
        <v>0</v>
      </c>
      <c r="AL241" s="10"/>
    </row>
    <row r="242" spans="1:38">
      <c r="A242" s="11" t="s">
        <v>211</v>
      </c>
      <c r="C242" s="6">
        <f>IF(C$13&gt;0,$C190*C$228*24*'Input'!$F$58/C$13,0)</f>
        <v>0</v>
      </c>
      <c r="D242" s="6">
        <f>IF(D$13&gt;0,$C190*D$228*24*'Input'!$F$58/D$13,0)</f>
        <v>0</v>
      </c>
      <c r="E242" s="6">
        <f>IF(E$13&gt;0,$C190*E$228*24*'Input'!$F$58/E$13,0)</f>
        <v>0</v>
      </c>
      <c r="G242" s="6">
        <f>IF(C$13&gt;0,$C190*G$228*24*'Input'!$F$58/C$13,0)</f>
        <v>0</v>
      </c>
      <c r="H242" s="6">
        <f>IF(D$13&gt;0,$C190*H$228*24*'Input'!$F$58/D$13,0)</f>
        <v>0</v>
      </c>
      <c r="I242" s="6">
        <f>IF(E$13&gt;0,$C190*I$228*24*'Input'!$F$58/E$13,0)</f>
        <v>0</v>
      </c>
      <c r="K242" s="6">
        <f>IF(C$13&gt;0,$C190*K$228*24*'Input'!$F$58/C$13,0)</f>
        <v>0</v>
      </c>
      <c r="L242" s="6">
        <f>IF(D$13&gt;0,$C190*L$228*24*'Input'!$F$58/D$13,0)</f>
        <v>0</v>
      </c>
      <c r="M242" s="6">
        <f>IF(E$13&gt;0,$C190*M$228*24*'Input'!$F$58/E$13,0)</f>
        <v>0</v>
      </c>
      <c r="O242" s="6">
        <f>IF(C$13&gt;0,$C190*O$228*24*'Input'!$F$58/C$13,0)</f>
        <v>0</v>
      </c>
      <c r="P242" s="6">
        <f>IF(D$13&gt;0,$C190*P$228*24*'Input'!$F$58/D$13,0)</f>
        <v>0</v>
      </c>
      <c r="Q242" s="6">
        <f>IF(E$13&gt;0,$C190*Q$228*24*'Input'!$F$58/E$13,0)</f>
        <v>0</v>
      </c>
      <c r="S242" s="6">
        <f>IF(C$13&gt;0,$C190*S$228*24*'Input'!$F$58/C$13,0)</f>
        <v>0</v>
      </c>
      <c r="T242" s="6">
        <f>IF(D$13&gt;0,$C190*T$228*24*'Input'!$F$58/D$13,0)</f>
        <v>0</v>
      </c>
      <c r="U242" s="6">
        <f>IF(E$13&gt;0,$C190*U$228*24*'Input'!$F$58/E$13,0)</f>
        <v>0</v>
      </c>
      <c r="W242" s="6">
        <f>IF(C$13&gt;0,$C190*W$228*24*'Input'!$F$58/C$13,0)</f>
        <v>0</v>
      </c>
      <c r="X242" s="6">
        <f>IF(D$13&gt;0,$C190*X$228*24*'Input'!$F$58/D$13,0)</f>
        <v>0</v>
      </c>
      <c r="Y242" s="6">
        <f>IF(E$13&gt;0,$C190*Y$228*24*'Input'!$F$58/E$13,0)</f>
        <v>0</v>
      </c>
      <c r="AA242" s="6">
        <f>IF(C$13&gt;0,$C190*AA$228*24*'Input'!$F$58/C$13,0)</f>
        <v>0</v>
      </c>
      <c r="AB242" s="6">
        <f>IF(D$13&gt;0,$C190*AB$228*24*'Input'!$F$58/D$13,0)</f>
        <v>0</v>
      </c>
      <c r="AC242" s="6">
        <f>IF(E$13&gt;0,$C190*AC$228*24*'Input'!$F$58/E$13,0)</f>
        <v>0</v>
      </c>
      <c r="AE242" s="6">
        <f>IF(C$13&gt;0,$C190*AE$228*24*'Input'!$F$58/C$13,0)</f>
        <v>0</v>
      </c>
      <c r="AF242" s="6">
        <f>IF(D$13&gt;0,$C190*AF$228*24*'Input'!$F$58/D$13,0)</f>
        <v>0</v>
      </c>
      <c r="AG242" s="6">
        <f>IF(E$13&gt;0,$C190*AG$228*24*'Input'!$F$58/E$13,0)</f>
        <v>0</v>
      </c>
      <c r="AI242" s="6">
        <f>IF(C$13&gt;0,$C190*AI$228*24*'Input'!$F$58/C$13,0)</f>
        <v>0</v>
      </c>
      <c r="AJ242" s="6">
        <f>IF(D$13&gt;0,$C190*AJ$228*24*'Input'!$F$58/D$13,0)</f>
        <v>0</v>
      </c>
      <c r="AK242" s="6">
        <f>IF(E$13&gt;0,$C190*AK$228*24*'Input'!$F$58/E$13,0)</f>
        <v>0</v>
      </c>
      <c r="AL242" s="10"/>
    </row>
    <row r="243" spans="1:38">
      <c r="A243" s="11" t="s">
        <v>176</v>
      </c>
      <c r="C243" s="6">
        <f>IF(C$13&gt;0,$C191*C$228*24*'Input'!$F$58/C$13,0)</f>
        <v>0</v>
      </c>
      <c r="D243" s="6">
        <f>IF(D$13&gt;0,$C191*D$228*24*'Input'!$F$58/D$13,0)</f>
        <v>0</v>
      </c>
      <c r="E243" s="6">
        <f>IF(E$13&gt;0,$C191*E$228*24*'Input'!$F$58/E$13,0)</f>
        <v>0</v>
      </c>
      <c r="G243" s="6">
        <f>IF(C$13&gt;0,$C191*G$228*24*'Input'!$F$58/C$13,0)</f>
        <v>0</v>
      </c>
      <c r="H243" s="6">
        <f>IF(D$13&gt;0,$C191*H$228*24*'Input'!$F$58/D$13,0)</f>
        <v>0</v>
      </c>
      <c r="I243" s="6">
        <f>IF(E$13&gt;0,$C191*I$228*24*'Input'!$F$58/E$13,0)</f>
        <v>0</v>
      </c>
      <c r="K243" s="6">
        <f>IF(C$13&gt;0,$C191*K$228*24*'Input'!$F$58/C$13,0)</f>
        <v>0</v>
      </c>
      <c r="L243" s="6">
        <f>IF(D$13&gt;0,$C191*L$228*24*'Input'!$F$58/D$13,0)</f>
        <v>0</v>
      </c>
      <c r="M243" s="6">
        <f>IF(E$13&gt;0,$C191*M$228*24*'Input'!$F$58/E$13,0)</f>
        <v>0</v>
      </c>
      <c r="O243" s="6">
        <f>IF(C$13&gt;0,$C191*O$228*24*'Input'!$F$58/C$13,0)</f>
        <v>0</v>
      </c>
      <c r="P243" s="6">
        <f>IF(D$13&gt;0,$C191*P$228*24*'Input'!$F$58/D$13,0)</f>
        <v>0</v>
      </c>
      <c r="Q243" s="6">
        <f>IF(E$13&gt;0,$C191*Q$228*24*'Input'!$F$58/E$13,0)</f>
        <v>0</v>
      </c>
      <c r="S243" s="6">
        <f>IF(C$13&gt;0,$C191*S$228*24*'Input'!$F$58/C$13,0)</f>
        <v>0</v>
      </c>
      <c r="T243" s="6">
        <f>IF(D$13&gt;0,$C191*T$228*24*'Input'!$F$58/D$13,0)</f>
        <v>0</v>
      </c>
      <c r="U243" s="6">
        <f>IF(E$13&gt;0,$C191*U$228*24*'Input'!$F$58/E$13,0)</f>
        <v>0</v>
      </c>
      <c r="W243" s="6">
        <f>IF(C$13&gt;0,$C191*W$228*24*'Input'!$F$58/C$13,0)</f>
        <v>0</v>
      </c>
      <c r="X243" s="6">
        <f>IF(D$13&gt;0,$C191*X$228*24*'Input'!$F$58/D$13,0)</f>
        <v>0</v>
      </c>
      <c r="Y243" s="6">
        <f>IF(E$13&gt;0,$C191*Y$228*24*'Input'!$F$58/E$13,0)</f>
        <v>0</v>
      </c>
      <c r="AA243" s="6">
        <f>IF(C$13&gt;0,$C191*AA$228*24*'Input'!$F$58/C$13,0)</f>
        <v>0</v>
      </c>
      <c r="AB243" s="6">
        <f>IF(D$13&gt;0,$C191*AB$228*24*'Input'!$F$58/D$13,0)</f>
        <v>0</v>
      </c>
      <c r="AC243" s="6">
        <f>IF(E$13&gt;0,$C191*AC$228*24*'Input'!$F$58/E$13,0)</f>
        <v>0</v>
      </c>
      <c r="AE243" s="6">
        <f>IF(C$13&gt;0,$C191*AE$228*24*'Input'!$F$58/C$13,0)</f>
        <v>0</v>
      </c>
      <c r="AF243" s="6">
        <f>IF(D$13&gt;0,$C191*AF$228*24*'Input'!$F$58/D$13,0)</f>
        <v>0</v>
      </c>
      <c r="AG243" s="6">
        <f>IF(E$13&gt;0,$C191*AG$228*24*'Input'!$F$58/E$13,0)</f>
        <v>0</v>
      </c>
      <c r="AI243" s="6">
        <f>IF(C$13&gt;0,$C191*AI$228*24*'Input'!$F$58/C$13,0)</f>
        <v>0</v>
      </c>
      <c r="AJ243" s="6">
        <f>IF(D$13&gt;0,$C191*AJ$228*24*'Input'!$F$58/D$13,0)</f>
        <v>0</v>
      </c>
      <c r="AK243" s="6">
        <f>IF(E$13&gt;0,$C191*AK$228*24*'Input'!$F$58/E$13,0)</f>
        <v>0</v>
      </c>
      <c r="AL243" s="10"/>
    </row>
    <row r="244" spans="1:38">
      <c r="A244" s="11" t="s">
        <v>177</v>
      </c>
      <c r="C244" s="6">
        <f>IF(C$13&gt;0,$C192*C$228*24*'Input'!$F$58/C$13,0)</f>
        <v>0</v>
      </c>
      <c r="D244" s="6">
        <f>IF(D$13&gt;0,$C192*D$228*24*'Input'!$F$58/D$13,0)</f>
        <v>0</v>
      </c>
      <c r="E244" s="6">
        <f>IF(E$13&gt;0,$C192*E$228*24*'Input'!$F$58/E$13,0)</f>
        <v>0</v>
      </c>
      <c r="G244" s="6">
        <f>IF(C$13&gt;0,$C192*G$228*24*'Input'!$F$58/C$13,0)</f>
        <v>0</v>
      </c>
      <c r="H244" s="6">
        <f>IF(D$13&gt;0,$C192*H$228*24*'Input'!$F$58/D$13,0)</f>
        <v>0</v>
      </c>
      <c r="I244" s="6">
        <f>IF(E$13&gt;0,$C192*I$228*24*'Input'!$F$58/E$13,0)</f>
        <v>0</v>
      </c>
      <c r="K244" s="6">
        <f>IF(C$13&gt;0,$C192*K$228*24*'Input'!$F$58/C$13,0)</f>
        <v>0</v>
      </c>
      <c r="L244" s="6">
        <f>IF(D$13&gt;0,$C192*L$228*24*'Input'!$F$58/D$13,0)</f>
        <v>0</v>
      </c>
      <c r="M244" s="6">
        <f>IF(E$13&gt;0,$C192*M$228*24*'Input'!$F$58/E$13,0)</f>
        <v>0</v>
      </c>
      <c r="O244" s="6">
        <f>IF(C$13&gt;0,$C192*O$228*24*'Input'!$F$58/C$13,0)</f>
        <v>0</v>
      </c>
      <c r="P244" s="6">
        <f>IF(D$13&gt;0,$C192*P$228*24*'Input'!$F$58/D$13,0)</f>
        <v>0</v>
      </c>
      <c r="Q244" s="6">
        <f>IF(E$13&gt;0,$C192*Q$228*24*'Input'!$F$58/E$13,0)</f>
        <v>0</v>
      </c>
      <c r="S244" s="6">
        <f>IF(C$13&gt;0,$C192*S$228*24*'Input'!$F$58/C$13,0)</f>
        <v>0</v>
      </c>
      <c r="T244" s="6">
        <f>IF(D$13&gt;0,$C192*T$228*24*'Input'!$F$58/D$13,0)</f>
        <v>0</v>
      </c>
      <c r="U244" s="6">
        <f>IF(E$13&gt;0,$C192*U$228*24*'Input'!$F$58/E$13,0)</f>
        <v>0</v>
      </c>
      <c r="W244" s="6">
        <f>IF(C$13&gt;0,$C192*W$228*24*'Input'!$F$58/C$13,0)</f>
        <v>0</v>
      </c>
      <c r="X244" s="6">
        <f>IF(D$13&gt;0,$C192*X$228*24*'Input'!$F$58/D$13,0)</f>
        <v>0</v>
      </c>
      <c r="Y244" s="6">
        <f>IF(E$13&gt;0,$C192*Y$228*24*'Input'!$F$58/E$13,0)</f>
        <v>0</v>
      </c>
      <c r="AA244" s="6">
        <f>IF(C$13&gt;0,$C192*AA$228*24*'Input'!$F$58/C$13,0)</f>
        <v>0</v>
      </c>
      <c r="AB244" s="6">
        <f>IF(D$13&gt;0,$C192*AB$228*24*'Input'!$F$58/D$13,0)</f>
        <v>0</v>
      </c>
      <c r="AC244" s="6">
        <f>IF(E$13&gt;0,$C192*AC$228*24*'Input'!$F$58/E$13,0)</f>
        <v>0</v>
      </c>
      <c r="AE244" s="6">
        <f>IF(C$13&gt;0,$C192*AE$228*24*'Input'!$F$58/C$13,0)</f>
        <v>0</v>
      </c>
      <c r="AF244" s="6">
        <f>IF(D$13&gt;0,$C192*AF$228*24*'Input'!$F$58/D$13,0)</f>
        <v>0</v>
      </c>
      <c r="AG244" s="6">
        <f>IF(E$13&gt;0,$C192*AG$228*24*'Input'!$F$58/E$13,0)</f>
        <v>0</v>
      </c>
      <c r="AI244" s="6">
        <f>IF(C$13&gt;0,$C192*AI$228*24*'Input'!$F$58/C$13,0)</f>
        <v>0</v>
      </c>
      <c r="AJ244" s="6">
        <f>IF(D$13&gt;0,$C192*AJ$228*24*'Input'!$F$58/D$13,0)</f>
        <v>0</v>
      </c>
      <c r="AK244" s="6">
        <f>IF(E$13&gt;0,$C192*AK$228*24*'Input'!$F$58/E$13,0)</f>
        <v>0</v>
      </c>
      <c r="AL244" s="10"/>
    </row>
    <row r="245" spans="1:38">
      <c r="A245" s="11" t="s">
        <v>191</v>
      </c>
      <c r="C245" s="6">
        <f>IF(C$13&gt;0,$C193*C$228*24*'Input'!$F$58/C$13,0)</f>
        <v>0</v>
      </c>
      <c r="D245" s="6">
        <f>IF(D$13&gt;0,$C193*D$228*24*'Input'!$F$58/D$13,0)</f>
        <v>0</v>
      </c>
      <c r="E245" s="6">
        <f>IF(E$13&gt;0,$C193*E$228*24*'Input'!$F$58/E$13,0)</f>
        <v>0</v>
      </c>
      <c r="G245" s="6">
        <f>IF(C$13&gt;0,$C193*G$228*24*'Input'!$F$58/C$13,0)</f>
        <v>0</v>
      </c>
      <c r="H245" s="6">
        <f>IF(D$13&gt;0,$C193*H$228*24*'Input'!$F$58/D$13,0)</f>
        <v>0</v>
      </c>
      <c r="I245" s="6">
        <f>IF(E$13&gt;0,$C193*I$228*24*'Input'!$F$58/E$13,0)</f>
        <v>0</v>
      </c>
      <c r="K245" s="6">
        <f>IF(C$13&gt;0,$C193*K$228*24*'Input'!$F$58/C$13,0)</f>
        <v>0</v>
      </c>
      <c r="L245" s="6">
        <f>IF(D$13&gt;0,$C193*L$228*24*'Input'!$F$58/D$13,0)</f>
        <v>0</v>
      </c>
      <c r="M245" s="6">
        <f>IF(E$13&gt;0,$C193*M$228*24*'Input'!$F$58/E$13,0)</f>
        <v>0</v>
      </c>
      <c r="O245" s="6">
        <f>IF(C$13&gt;0,$C193*O$228*24*'Input'!$F$58/C$13,0)</f>
        <v>0</v>
      </c>
      <c r="P245" s="6">
        <f>IF(D$13&gt;0,$C193*P$228*24*'Input'!$F$58/D$13,0)</f>
        <v>0</v>
      </c>
      <c r="Q245" s="6">
        <f>IF(E$13&gt;0,$C193*Q$228*24*'Input'!$F$58/E$13,0)</f>
        <v>0</v>
      </c>
      <c r="S245" s="6">
        <f>IF(C$13&gt;0,$C193*S$228*24*'Input'!$F$58/C$13,0)</f>
        <v>0</v>
      </c>
      <c r="T245" s="6">
        <f>IF(D$13&gt;0,$C193*T$228*24*'Input'!$F$58/D$13,0)</f>
        <v>0</v>
      </c>
      <c r="U245" s="6">
        <f>IF(E$13&gt;0,$C193*U$228*24*'Input'!$F$58/E$13,0)</f>
        <v>0</v>
      </c>
      <c r="W245" s="6">
        <f>IF(C$13&gt;0,$C193*W$228*24*'Input'!$F$58/C$13,0)</f>
        <v>0</v>
      </c>
      <c r="X245" s="6">
        <f>IF(D$13&gt;0,$C193*X$228*24*'Input'!$F$58/D$13,0)</f>
        <v>0</v>
      </c>
      <c r="Y245" s="6">
        <f>IF(E$13&gt;0,$C193*Y$228*24*'Input'!$F$58/E$13,0)</f>
        <v>0</v>
      </c>
      <c r="AA245" s="6">
        <f>IF(C$13&gt;0,$C193*AA$228*24*'Input'!$F$58/C$13,0)</f>
        <v>0</v>
      </c>
      <c r="AB245" s="6">
        <f>IF(D$13&gt;0,$C193*AB$228*24*'Input'!$F$58/D$13,0)</f>
        <v>0</v>
      </c>
      <c r="AC245" s="6">
        <f>IF(E$13&gt;0,$C193*AC$228*24*'Input'!$F$58/E$13,0)</f>
        <v>0</v>
      </c>
      <c r="AE245" s="6">
        <f>IF(C$13&gt;0,$C193*AE$228*24*'Input'!$F$58/C$13,0)</f>
        <v>0</v>
      </c>
      <c r="AF245" s="6">
        <f>IF(D$13&gt;0,$C193*AF$228*24*'Input'!$F$58/D$13,0)</f>
        <v>0</v>
      </c>
      <c r="AG245" s="6">
        <f>IF(E$13&gt;0,$C193*AG$228*24*'Input'!$F$58/E$13,0)</f>
        <v>0</v>
      </c>
      <c r="AI245" s="6">
        <f>IF(C$13&gt;0,$C193*AI$228*24*'Input'!$F$58/C$13,0)</f>
        <v>0</v>
      </c>
      <c r="AJ245" s="6">
        <f>IF(D$13&gt;0,$C193*AJ$228*24*'Input'!$F$58/D$13,0)</f>
        <v>0</v>
      </c>
      <c r="AK245" s="6">
        <f>IF(E$13&gt;0,$C193*AK$228*24*'Input'!$F$58/E$13,0)</f>
        <v>0</v>
      </c>
      <c r="AL245" s="10"/>
    </row>
    <row r="246" spans="1:38">
      <c r="A246" s="11" t="s">
        <v>178</v>
      </c>
      <c r="C246" s="6">
        <f>IF(C$13&gt;0,$C194*C$228*24*'Input'!$F$58/C$13,0)</f>
        <v>0</v>
      </c>
      <c r="D246" s="6">
        <f>IF(D$13&gt;0,$C194*D$228*24*'Input'!$F$58/D$13,0)</f>
        <v>0</v>
      </c>
      <c r="E246" s="6">
        <f>IF(E$13&gt;0,$C194*E$228*24*'Input'!$F$58/E$13,0)</f>
        <v>0</v>
      </c>
      <c r="G246" s="6">
        <f>IF(C$13&gt;0,$C194*G$228*24*'Input'!$F$58/C$13,0)</f>
        <v>0</v>
      </c>
      <c r="H246" s="6">
        <f>IF(D$13&gt;0,$C194*H$228*24*'Input'!$F$58/D$13,0)</f>
        <v>0</v>
      </c>
      <c r="I246" s="6">
        <f>IF(E$13&gt;0,$C194*I$228*24*'Input'!$F$58/E$13,0)</f>
        <v>0</v>
      </c>
      <c r="K246" s="6">
        <f>IF(C$13&gt;0,$C194*K$228*24*'Input'!$F$58/C$13,0)</f>
        <v>0</v>
      </c>
      <c r="L246" s="6">
        <f>IF(D$13&gt;0,$C194*L$228*24*'Input'!$F$58/D$13,0)</f>
        <v>0</v>
      </c>
      <c r="M246" s="6">
        <f>IF(E$13&gt;0,$C194*M$228*24*'Input'!$F$58/E$13,0)</f>
        <v>0</v>
      </c>
      <c r="O246" s="6">
        <f>IF(C$13&gt;0,$C194*O$228*24*'Input'!$F$58/C$13,0)</f>
        <v>0</v>
      </c>
      <c r="P246" s="6">
        <f>IF(D$13&gt;0,$C194*P$228*24*'Input'!$F$58/D$13,0)</f>
        <v>0</v>
      </c>
      <c r="Q246" s="6">
        <f>IF(E$13&gt;0,$C194*Q$228*24*'Input'!$F$58/E$13,0)</f>
        <v>0</v>
      </c>
      <c r="S246" s="6">
        <f>IF(C$13&gt;0,$C194*S$228*24*'Input'!$F$58/C$13,0)</f>
        <v>0</v>
      </c>
      <c r="T246" s="6">
        <f>IF(D$13&gt;0,$C194*T$228*24*'Input'!$F$58/D$13,0)</f>
        <v>0</v>
      </c>
      <c r="U246" s="6">
        <f>IF(E$13&gt;0,$C194*U$228*24*'Input'!$F$58/E$13,0)</f>
        <v>0</v>
      </c>
      <c r="W246" s="6">
        <f>IF(C$13&gt;0,$C194*W$228*24*'Input'!$F$58/C$13,0)</f>
        <v>0</v>
      </c>
      <c r="X246" s="6">
        <f>IF(D$13&gt;0,$C194*X$228*24*'Input'!$F$58/D$13,0)</f>
        <v>0</v>
      </c>
      <c r="Y246" s="6">
        <f>IF(E$13&gt;0,$C194*Y$228*24*'Input'!$F$58/E$13,0)</f>
        <v>0</v>
      </c>
      <c r="AA246" s="6">
        <f>IF(C$13&gt;0,$C194*AA$228*24*'Input'!$F$58/C$13,0)</f>
        <v>0</v>
      </c>
      <c r="AB246" s="6">
        <f>IF(D$13&gt;0,$C194*AB$228*24*'Input'!$F$58/D$13,0)</f>
        <v>0</v>
      </c>
      <c r="AC246" s="6">
        <f>IF(E$13&gt;0,$C194*AC$228*24*'Input'!$F$58/E$13,0)</f>
        <v>0</v>
      </c>
      <c r="AE246" s="6">
        <f>IF(C$13&gt;0,$C194*AE$228*24*'Input'!$F$58/C$13,0)</f>
        <v>0</v>
      </c>
      <c r="AF246" s="6">
        <f>IF(D$13&gt;0,$C194*AF$228*24*'Input'!$F$58/D$13,0)</f>
        <v>0</v>
      </c>
      <c r="AG246" s="6">
        <f>IF(E$13&gt;0,$C194*AG$228*24*'Input'!$F$58/E$13,0)</f>
        <v>0</v>
      </c>
      <c r="AI246" s="6">
        <f>IF(C$13&gt;0,$C194*AI$228*24*'Input'!$F$58/C$13,0)</f>
        <v>0</v>
      </c>
      <c r="AJ246" s="6">
        <f>IF(D$13&gt;0,$C194*AJ$228*24*'Input'!$F$58/D$13,0)</f>
        <v>0</v>
      </c>
      <c r="AK246" s="6">
        <f>IF(E$13&gt;0,$C194*AK$228*24*'Input'!$F$58/E$13,0)</f>
        <v>0</v>
      </c>
      <c r="AL246" s="10"/>
    </row>
    <row r="247" spans="1:38">
      <c r="A247" s="11" t="s">
        <v>179</v>
      </c>
      <c r="C247" s="6">
        <f>IF(C$13&gt;0,$C195*C$228*24*'Input'!$F$58/C$13,0)</f>
        <v>0</v>
      </c>
      <c r="D247" s="6">
        <f>IF(D$13&gt;0,$C195*D$228*24*'Input'!$F$58/D$13,0)</f>
        <v>0</v>
      </c>
      <c r="E247" s="6">
        <f>IF(E$13&gt;0,$C195*E$228*24*'Input'!$F$58/E$13,0)</f>
        <v>0</v>
      </c>
      <c r="G247" s="6">
        <f>IF(C$13&gt;0,$C195*G$228*24*'Input'!$F$58/C$13,0)</f>
        <v>0</v>
      </c>
      <c r="H247" s="6">
        <f>IF(D$13&gt;0,$C195*H$228*24*'Input'!$F$58/D$13,0)</f>
        <v>0</v>
      </c>
      <c r="I247" s="6">
        <f>IF(E$13&gt;0,$C195*I$228*24*'Input'!$F$58/E$13,0)</f>
        <v>0</v>
      </c>
      <c r="K247" s="6">
        <f>IF(C$13&gt;0,$C195*K$228*24*'Input'!$F$58/C$13,0)</f>
        <v>0</v>
      </c>
      <c r="L247" s="6">
        <f>IF(D$13&gt;0,$C195*L$228*24*'Input'!$F$58/D$13,0)</f>
        <v>0</v>
      </c>
      <c r="M247" s="6">
        <f>IF(E$13&gt;0,$C195*M$228*24*'Input'!$F$58/E$13,0)</f>
        <v>0</v>
      </c>
      <c r="O247" s="6">
        <f>IF(C$13&gt;0,$C195*O$228*24*'Input'!$F$58/C$13,0)</f>
        <v>0</v>
      </c>
      <c r="P247" s="6">
        <f>IF(D$13&gt;0,$C195*P$228*24*'Input'!$F$58/D$13,0)</f>
        <v>0</v>
      </c>
      <c r="Q247" s="6">
        <f>IF(E$13&gt;0,$C195*Q$228*24*'Input'!$F$58/E$13,0)</f>
        <v>0</v>
      </c>
      <c r="S247" s="6">
        <f>IF(C$13&gt;0,$C195*S$228*24*'Input'!$F$58/C$13,0)</f>
        <v>0</v>
      </c>
      <c r="T247" s="6">
        <f>IF(D$13&gt;0,$C195*T$228*24*'Input'!$F$58/D$13,0)</f>
        <v>0</v>
      </c>
      <c r="U247" s="6">
        <f>IF(E$13&gt;0,$C195*U$228*24*'Input'!$F$58/E$13,0)</f>
        <v>0</v>
      </c>
      <c r="W247" s="6">
        <f>IF(C$13&gt;0,$C195*W$228*24*'Input'!$F$58/C$13,0)</f>
        <v>0</v>
      </c>
      <c r="X247" s="6">
        <f>IF(D$13&gt;0,$C195*X$228*24*'Input'!$F$58/D$13,0)</f>
        <v>0</v>
      </c>
      <c r="Y247" s="6">
        <f>IF(E$13&gt;0,$C195*Y$228*24*'Input'!$F$58/E$13,0)</f>
        <v>0</v>
      </c>
      <c r="AA247" s="6">
        <f>IF(C$13&gt;0,$C195*AA$228*24*'Input'!$F$58/C$13,0)</f>
        <v>0</v>
      </c>
      <c r="AB247" s="6">
        <f>IF(D$13&gt;0,$C195*AB$228*24*'Input'!$F$58/D$13,0)</f>
        <v>0</v>
      </c>
      <c r="AC247" s="6">
        <f>IF(E$13&gt;0,$C195*AC$228*24*'Input'!$F$58/E$13,0)</f>
        <v>0</v>
      </c>
      <c r="AE247" s="6">
        <f>IF(C$13&gt;0,$C195*AE$228*24*'Input'!$F$58/C$13,0)</f>
        <v>0</v>
      </c>
      <c r="AF247" s="6">
        <f>IF(D$13&gt;0,$C195*AF$228*24*'Input'!$F$58/D$13,0)</f>
        <v>0</v>
      </c>
      <c r="AG247" s="6">
        <f>IF(E$13&gt;0,$C195*AG$228*24*'Input'!$F$58/E$13,0)</f>
        <v>0</v>
      </c>
      <c r="AI247" s="6">
        <f>IF(C$13&gt;0,$C195*AI$228*24*'Input'!$F$58/C$13,0)</f>
        <v>0</v>
      </c>
      <c r="AJ247" s="6">
        <f>IF(D$13&gt;0,$C195*AJ$228*24*'Input'!$F$58/D$13,0)</f>
        <v>0</v>
      </c>
      <c r="AK247" s="6">
        <f>IF(E$13&gt;0,$C195*AK$228*24*'Input'!$F$58/E$13,0)</f>
        <v>0</v>
      </c>
      <c r="AL247" s="10"/>
    </row>
    <row r="248" spans="1:38">
      <c r="A248" s="11" t="s">
        <v>192</v>
      </c>
      <c r="C248" s="6">
        <f>IF(C$13&gt;0,$C196*C$228*24*'Input'!$F$58/C$13,0)</f>
        <v>0</v>
      </c>
      <c r="D248" s="6">
        <f>IF(D$13&gt;0,$C196*D$228*24*'Input'!$F$58/D$13,0)</f>
        <v>0</v>
      </c>
      <c r="E248" s="6">
        <f>IF(E$13&gt;0,$C196*E$228*24*'Input'!$F$58/E$13,0)</f>
        <v>0</v>
      </c>
      <c r="G248" s="6">
        <f>IF(C$13&gt;0,$C196*G$228*24*'Input'!$F$58/C$13,0)</f>
        <v>0</v>
      </c>
      <c r="H248" s="6">
        <f>IF(D$13&gt;0,$C196*H$228*24*'Input'!$F$58/D$13,0)</f>
        <v>0</v>
      </c>
      <c r="I248" s="6">
        <f>IF(E$13&gt;0,$C196*I$228*24*'Input'!$F$58/E$13,0)</f>
        <v>0</v>
      </c>
      <c r="K248" s="6">
        <f>IF(C$13&gt;0,$C196*K$228*24*'Input'!$F$58/C$13,0)</f>
        <v>0</v>
      </c>
      <c r="L248" s="6">
        <f>IF(D$13&gt;0,$C196*L$228*24*'Input'!$F$58/D$13,0)</f>
        <v>0</v>
      </c>
      <c r="M248" s="6">
        <f>IF(E$13&gt;0,$C196*M$228*24*'Input'!$F$58/E$13,0)</f>
        <v>0</v>
      </c>
      <c r="O248" s="6">
        <f>IF(C$13&gt;0,$C196*O$228*24*'Input'!$F$58/C$13,0)</f>
        <v>0</v>
      </c>
      <c r="P248" s="6">
        <f>IF(D$13&gt;0,$C196*P$228*24*'Input'!$F$58/D$13,0)</f>
        <v>0</v>
      </c>
      <c r="Q248" s="6">
        <f>IF(E$13&gt;0,$C196*Q$228*24*'Input'!$F$58/E$13,0)</f>
        <v>0</v>
      </c>
      <c r="S248" s="6">
        <f>IF(C$13&gt;0,$C196*S$228*24*'Input'!$F$58/C$13,0)</f>
        <v>0</v>
      </c>
      <c r="T248" s="6">
        <f>IF(D$13&gt;0,$C196*T$228*24*'Input'!$F$58/D$13,0)</f>
        <v>0</v>
      </c>
      <c r="U248" s="6">
        <f>IF(E$13&gt;0,$C196*U$228*24*'Input'!$F$58/E$13,0)</f>
        <v>0</v>
      </c>
      <c r="W248" s="6">
        <f>IF(C$13&gt;0,$C196*W$228*24*'Input'!$F$58/C$13,0)</f>
        <v>0</v>
      </c>
      <c r="X248" s="6">
        <f>IF(D$13&gt;0,$C196*X$228*24*'Input'!$F$58/D$13,0)</f>
        <v>0</v>
      </c>
      <c r="Y248" s="6">
        <f>IF(E$13&gt;0,$C196*Y$228*24*'Input'!$F$58/E$13,0)</f>
        <v>0</v>
      </c>
      <c r="AA248" s="6">
        <f>IF(C$13&gt;0,$C196*AA$228*24*'Input'!$F$58/C$13,0)</f>
        <v>0</v>
      </c>
      <c r="AB248" s="6">
        <f>IF(D$13&gt;0,$C196*AB$228*24*'Input'!$F$58/D$13,0)</f>
        <v>0</v>
      </c>
      <c r="AC248" s="6">
        <f>IF(E$13&gt;0,$C196*AC$228*24*'Input'!$F$58/E$13,0)</f>
        <v>0</v>
      </c>
      <c r="AE248" s="6">
        <f>IF(C$13&gt;0,$C196*AE$228*24*'Input'!$F$58/C$13,0)</f>
        <v>0</v>
      </c>
      <c r="AF248" s="6">
        <f>IF(D$13&gt;0,$C196*AF$228*24*'Input'!$F$58/D$13,0)</f>
        <v>0</v>
      </c>
      <c r="AG248" s="6">
        <f>IF(E$13&gt;0,$C196*AG$228*24*'Input'!$F$58/E$13,0)</f>
        <v>0</v>
      </c>
      <c r="AI248" s="6">
        <f>IF(C$13&gt;0,$C196*AI$228*24*'Input'!$F$58/C$13,0)</f>
        <v>0</v>
      </c>
      <c r="AJ248" s="6">
        <f>IF(D$13&gt;0,$C196*AJ$228*24*'Input'!$F$58/D$13,0)</f>
        <v>0</v>
      </c>
      <c r="AK248" s="6">
        <f>IF(E$13&gt;0,$C196*AK$228*24*'Input'!$F$58/E$13,0)</f>
        <v>0</v>
      </c>
      <c r="AL248" s="10"/>
    </row>
    <row r="249" spans="1:38">
      <c r="A249" s="11" t="s">
        <v>183</v>
      </c>
      <c r="C249" s="6">
        <f>IF(C$13&gt;0,$C197*C$228*24*'Input'!$F$58/C$13,0)</f>
        <v>0</v>
      </c>
      <c r="D249" s="6">
        <f>IF(D$13&gt;0,$C197*D$228*24*'Input'!$F$58/D$13,0)</f>
        <v>0</v>
      </c>
      <c r="E249" s="6">
        <f>IF(E$13&gt;0,$C197*E$228*24*'Input'!$F$58/E$13,0)</f>
        <v>0</v>
      </c>
      <c r="G249" s="6">
        <f>IF(C$13&gt;0,$C197*G$228*24*'Input'!$F$58/C$13,0)</f>
        <v>0</v>
      </c>
      <c r="H249" s="6">
        <f>IF(D$13&gt;0,$C197*H$228*24*'Input'!$F$58/D$13,0)</f>
        <v>0</v>
      </c>
      <c r="I249" s="6">
        <f>IF(E$13&gt;0,$C197*I$228*24*'Input'!$F$58/E$13,0)</f>
        <v>0</v>
      </c>
      <c r="K249" s="6">
        <f>IF(C$13&gt;0,$C197*K$228*24*'Input'!$F$58/C$13,0)</f>
        <v>0</v>
      </c>
      <c r="L249" s="6">
        <f>IF(D$13&gt;0,$C197*L$228*24*'Input'!$F$58/D$13,0)</f>
        <v>0</v>
      </c>
      <c r="M249" s="6">
        <f>IF(E$13&gt;0,$C197*M$228*24*'Input'!$F$58/E$13,0)</f>
        <v>0</v>
      </c>
      <c r="O249" s="6">
        <f>IF(C$13&gt;0,$C197*O$228*24*'Input'!$F$58/C$13,0)</f>
        <v>0</v>
      </c>
      <c r="P249" s="6">
        <f>IF(D$13&gt;0,$C197*P$228*24*'Input'!$F$58/D$13,0)</f>
        <v>0</v>
      </c>
      <c r="Q249" s="6">
        <f>IF(E$13&gt;0,$C197*Q$228*24*'Input'!$F$58/E$13,0)</f>
        <v>0</v>
      </c>
      <c r="S249" s="6">
        <f>IF(C$13&gt;0,$C197*S$228*24*'Input'!$F$58/C$13,0)</f>
        <v>0</v>
      </c>
      <c r="T249" s="6">
        <f>IF(D$13&gt;0,$C197*T$228*24*'Input'!$F$58/D$13,0)</f>
        <v>0</v>
      </c>
      <c r="U249" s="6">
        <f>IF(E$13&gt;0,$C197*U$228*24*'Input'!$F$58/E$13,0)</f>
        <v>0</v>
      </c>
      <c r="W249" s="6">
        <f>IF(C$13&gt;0,$C197*W$228*24*'Input'!$F$58/C$13,0)</f>
        <v>0</v>
      </c>
      <c r="X249" s="6">
        <f>IF(D$13&gt;0,$C197*X$228*24*'Input'!$F$58/D$13,0)</f>
        <v>0</v>
      </c>
      <c r="Y249" s="6">
        <f>IF(E$13&gt;0,$C197*Y$228*24*'Input'!$F$58/E$13,0)</f>
        <v>0</v>
      </c>
      <c r="AA249" s="6">
        <f>IF(C$13&gt;0,$C197*AA$228*24*'Input'!$F$58/C$13,0)</f>
        <v>0</v>
      </c>
      <c r="AB249" s="6">
        <f>IF(D$13&gt;0,$C197*AB$228*24*'Input'!$F$58/D$13,0)</f>
        <v>0</v>
      </c>
      <c r="AC249" s="6">
        <f>IF(E$13&gt;0,$C197*AC$228*24*'Input'!$F$58/E$13,0)</f>
        <v>0</v>
      </c>
      <c r="AE249" s="6">
        <f>IF(C$13&gt;0,$C197*AE$228*24*'Input'!$F$58/C$13,0)</f>
        <v>0</v>
      </c>
      <c r="AF249" s="6">
        <f>IF(D$13&gt;0,$C197*AF$228*24*'Input'!$F$58/D$13,0)</f>
        <v>0</v>
      </c>
      <c r="AG249" s="6">
        <f>IF(E$13&gt;0,$C197*AG$228*24*'Input'!$F$58/E$13,0)</f>
        <v>0</v>
      </c>
      <c r="AI249" s="6">
        <f>IF(C$13&gt;0,$C197*AI$228*24*'Input'!$F$58/C$13,0)</f>
        <v>0</v>
      </c>
      <c r="AJ249" s="6">
        <f>IF(D$13&gt;0,$C197*AJ$228*24*'Input'!$F$58/D$13,0)</f>
        <v>0</v>
      </c>
      <c r="AK249" s="6">
        <f>IF(E$13&gt;0,$C197*AK$228*24*'Input'!$F$58/E$13,0)</f>
        <v>0</v>
      </c>
      <c r="AL249" s="10"/>
    </row>
    <row r="250" spans="1:38">
      <c r="A250" s="11" t="s">
        <v>185</v>
      </c>
      <c r="C250" s="6">
        <f>IF(C$13&gt;0,$C198*C$228*24*'Input'!$F$58/C$13,0)</f>
        <v>0</v>
      </c>
      <c r="D250" s="6">
        <f>IF(D$13&gt;0,$C198*D$228*24*'Input'!$F$58/D$13,0)</f>
        <v>0</v>
      </c>
      <c r="E250" s="6">
        <f>IF(E$13&gt;0,$C198*E$228*24*'Input'!$F$58/E$13,0)</f>
        <v>0</v>
      </c>
      <c r="G250" s="6">
        <f>IF(C$13&gt;0,$C198*G$228*24*'Input'!$F$58/C$13,0)</f>
        <v>0</v>
      </c>
      <c r="H250" s="6">
        <f>IF(D$13&gt;0,$C198*H$228*24*'Input'!$F$58/D$13,0)</f>
        <v>0</v>
      </c>
      <c r="I250" s="6">
        <f>IF(E$13&gt;0,$C198*I$228*24*'Input'!$F$58/E$13,0)</f>
        <v>0</v>
      </c>
      <c r="K250" s="6">
        <f>IF(C$13&gt;0,$C198*K$228*24*'Input'!$F$58/C$13,0)</f>
        <v>0</v>
      </c>
      <c r="L250" s="6">
        <f>IF(D$13&gt;0,$C198*L$228*24*'Input'!$F$58/D$13,0)</f>
        <v>0</v>
      </c>
      <c r="M250" s="6">
        <f>IF(E$13&gt;0,$C198*M$228*24*'Input'!$F$58/E$13,0)</f>
        <v>0</v>
      </c>
      <c r="O250" s="6">
        <f>IF(C$13&gt;0,$C198*O$228*24*'Input'!$F$58/C$13,0)</f>
        <v>0</v>
      </c>
      <c r="P250" s="6">
        <f>IF(D$13&gt;0,$C198*P$228*24*'Input'!$F$58/D$13,0)</f>
        <v>0</v>
      </c>
      <c r="Q250" s="6">
        <f>IF(E$13&gt;0,$C198*Q$228*24*'Input'!$F$58/E$13,0)</f>
        <v>0</v>
      </c>
      <c r="S250" s="6">
        <f>IF(C$13&gt;0,$C198*S$228*24*'Input'!$F$58/C$13,0)</f>
        <v>0</v>
      </c>
      <c r="T250" s="6">
        <f>IF(D$13&gt;0,$C198*T$228*24*'Input'!$F$58/D$13,0)</f>
        <v>0</v>
      </c>
      <c r="U250" s="6">
        <f>IF(E$13&gt;0,$C198*U$228*24*'Input'!$F$58/E$13,0)</f>
        <v>0</v>
      </c>
      <c r="W250" s="6">
        <f>IF(C$13&gt;0,$C198*W$228*24*'Input'!$F$58/C$13,0)</f>
        <v>0</v>
      </c>
      <c r="X250" s="6">
        <f>IF(D$13&gt;0,$C198*X$228*24*'Input'!$F$58/D$13,0)</f>
        <v>0</v>
      </c>
      <c r="Y250" s="6">
        <f>IF(E$13&gt;0,$C198*Y$228*24*'Input'!$F$58/E$13,0)</f>
        <v>0</v>
      </c>
      <c r="AA250" s="6">
        <f>IF(C$13&gt;0,$C198*AA$228*24*'Input'!$F$58/C$13,0)</f>
        <v>0</v>
      </c>
      <c r="AB250" s="6">
        <f>IF(D$13&gt;0,$C198*AB$228*24*'Input'!$F$58/D$13,0)</f>
        <v>0</v>
      </c>
      <c r="AC250" s="6">
        <f>IF(E$13&gt;0,$C198*AC$228*24*'Input'!$F$58/E$13,0)</f>
        <v>0</v>
      </c>
      <c r="AE250" s="6">
        <f>IF(C$13&gt;0,$C198*AE$228*24*'Input'!$F$58/C$13,0)</f>
        <v>0</v>
      </c>
      <c r="AF250" s="6">
        <f>IF(D$13&gt;0,$C198*AF$228*24*'Input'!$F$58/D$13,0)</f>
        <v>0</v>
      </c>
      <c r="AG250" s="6">
        <f>IF(E$13&gt;0,$C198*AG$228*24*'Input'!$F$58/E$13,0)</f>
        <v>0</v>
      </c>
      <c r="AI250" s="6">
        <f>IF(C$13&gt;0,$C198*AI$228*24*'Input'!$F$58/C$13,0)</f>
        <v>0</v>
      </c>
      <c r="AJ250" s="6">
        <f>IF(D$13&gt;0,$C198*AJ$228*24*'Input'!$F$58/D$13,0)</f>
        <v>0</v>
      </c>
      <c r="AK250" s="6">
        <f>IF(E$13&gt;0,$C198*AK$228*24*'Input'!$F$58/E$13,0)</f>
        <v>0</v>
      </c>
      <c r="AL250" s="10"/>
    </row>
    <row r="251" spans="1:38">
      <c r="A251" s="11" t="s">
        <v>194</v>
      </c>
      <c r="C251" s="6">
        <f>IF(C$13&gt;0,$C199*C$228*24*'Input'!$F$58/C$13,0)</f>
        <v>0</v>
      </c>
      <c r="D251" s="6">
        <f>IF(D$13&gt;0,$C199*D$228*24*'Input'!$F$58/D$13,0)</f>
        <v>0</v>
      </c>
      <c r="E251" s="6">
        <f>IF(E$13&gt;0,$C199*E$228*24*'Input'!$F$58/E$13,0)</f>
        <v>0</v>
      </c>
      <c r="G251" s="6">
        <f>IF(C$13&gt;0,$C199*G$228*24*'Input'!$F$58/C$13,0)</f>
        <v>0</v>
      </c>
      <c r="H251" s="6">
        <f>IF(D$13&gt;0,$C199*H$228*24*'Input'!$F$58/D$13,0)</f>
        <v>0</v>
      </c>
      <c r="I251" s="6">
        <f>IF(E$13&gt;0,$C199*I$228*24*'Input'!$F$58/E$13,0)</f>
        <v>0</v>
      </c>
      <c r="K251" s="6">
        <f>IF(C$13&gt;0,$C199*K$228*24*'Input'!$F$58/C$13,0)</f>
        <v>0</v>
      </c>
      <c r="L251" s="6">
        <f>IF(D$13&gt;0,$C199*L$228*24*'Input'!$F$58/D$13,0)</f>
        <v>0</v>
      </c>
      <c r="M251" s="6">
        <f>IF(E$13&gt;0,$C199*M$228*24*'Input'!$F$58/E$13,0)</f>
        <v>0</v>
      </c>
      <c r="O251" s="6">
        <f>IF(C$13&gt;0,$C199*O$228*24*'Input'!$F$58/C$13,0)</f>
        <v>0</v>
      </c>
      <c r="P251" s="6">
        <f>IF(D$13&gt;0,$C199*P$228*24*'Input'!$F$58/D$13,0)</f>
        <v>0</v>
      </c>
      <c r="Q251" s="6">
        <f>IF(E$13&gt;0,$C199*Q$228*24*'Input'!$F$58/E$13,0)</f>
        <v>0</v>
      </c>
      <c r="S251" s="6">
        <f>IF(C$13&gt;0,$C199*S$228*24*'Input'!$F$58/C$13,0)</f>
        <v>0</v>
      </c>
      <c r="T251" s="6">
        <f>IF(D$13&gt;0,$C199*T$228*24*'Input'!$F$58/D$13,0)</f>
        <v>0</v>
      </c>
      <c r="U251" s="6">
        <f>IF(E$13&gt;0,$C199*U$228*24*'Input'!$F$58/E$13,0)</f>
        <v>0</v>
      </c>
      <c r="W251" s="6">
        <f>IF(C$13&gt;0,$C199*W$228*24*'Input'!$F$58/C$13,0)</f>
        <v>0</v>
      </c>
      <c r="X251" s="6">
        <f>IF(D$13&gt;0,$C199*X$228*24*'Input'!$F$58/D$13,0)</f>
        <v>0</v>
      </c>
      <c r="Y251" s="6">
        <f>IF(E$13&gt;0,$C199*Y$228*24*'Input'!$F$58/E$13,0)</f>
        <v>0</v>
      </c>
      <c r="AA251" s="6">
        <f>IF(C$13&gt;0,$C199*AA$228*24*'Input'!$F$58/C$13,0)</f>
        <v>0</v>
      </c>
      <c r="AB251" s="6">
        <f>IF(D$13&gt;0,$C199*AB$228*24*'Input'!$F$58/D$13,0)</f>
        <v>0</v>
      </c>
      <c r="AC251" s="6">
        <f>IF(E$13&gt;0,$C199*AC$228*24*'Input'!$F$58/E$13,0)</f>
        <v>0</v>
      </c>
      <c r="AE251" s="6">
        <f>IF(C$13&gt;0,$C199*AE$228*24*'Input'!$F$58/C$13,0)</f>
        <v>0</v>
      </c>
      <c r="AF251" s="6">
        <f>IF(D$13&gt;0,$C199*AF$228*24*'Input'!$F$58/D$13,0)</f>
        <v>0</v>
      </c>
      <c r="AG251" s="6">
        <f>IF(E$13&gt;0,$C199*AG$228*24*'Input'!$F$58/E$13,0)</f>
        <v>0</v>
      </c>
      <c r="AI251" s="6">
        <f>IF(C$13&gt;0,$C199*AI$228*24*'Input'!$F$58/C$13,0)</f>
        <v>0</v>
      </c>
      <c r="AJ251" s="6">
        <f>IF(D$13&gt;0,$C199*AJ$228*24*'Input'!$F$58/D$13,0)</f>
        <v>0</v>
      </c>
      <c r="AK251" s="6">
        <f>IF(E$13&gt;0,$C199*AK$228*24*'Input'!$F$58/E$13,0)</f>
        <v>0</v>
      </c>
      <c r="AL251" s="10"/>
    </row>
    <row r="253" spans="1:38">
      <c r="A253" s="1" t="s">
        <v>620</v>
      </c>
    </row>
    <row r="254" spans="1:38">
      <c r="A254" s="2" t="s">
        <v>349</v>
      </c>
    </row>
    <row r="255" spans="1:38">
      <c r="A255" s="12" t="s">
        <v>621</v>
      </c>
    </row>
    <row r="256" spans="1:38">
      <c r="A256" s="12" t="s">
        <v>622</v>
      </c>
    </row>
    <row r="257" spans="1:11">
      <c r="A257" s="2" t="s">
        <v>362</v>
      </c>
    </row>
    <row r="259" spans="1:11">
      <c r="B259" s="3" t="s">
        <v>140</v>
      </c>
      <c r="C259" s="3" t="s">
        <v>141</v>
      </c>
      <c r="D259" s="3" t="s">
        <v>142</v>
      </c>
      <c r="E259" s="3" t="s">
        <v>143</v>
      </c>
      <c r="F259" s="3" t="s">
        <v>144</v>
      </c>
      <c r="G259" s="3" t="s">
        <v>149</v>
      </c>
      <c r="H259" s="3" t="s">
        <v>145</v>
      </c>
      <c r="I259" s="3" t="s">
        <v>146</v>
      </c>
      <c r="J259" s="3" t="s">
        <v>147</v>
      </c>
    </row>
    <row r="260" spans="1:11">
      <c r="A260" s="11" t="s">
        <v>173</v>
      </c>
      <c r="B260" s="6">
        <f>SUMPRODUCT($C239:$E239,$B41:$D41)</f>
        <v>0</v>
      </c>
      <c r="C260" s="6">
        <f>SUMPRODUCT($G239:$I239,$B41:$D41)</f>
        <v>0</v>
      </c>
      <c r="D260" s="6">
        <f>SUMPRODUCT($K239:$M239,$B41:$D41)</f>
        <v>0</v>
      </c>
      <c r="E260" s="6">
        <f>SUMPRODUCT($O239:$Q239,$B41:$D41)</f>
        <v>0</v>
      </c>
      <c r="F260" s="6">
        <f>SUMPRODUCT($S239:$U239,$B41:$D41)</f>
        <v>0</v>
      </c>
      <c r="G260" s="6">
        <f>SUMPRODUCT($W239:$Y239,$B41:$D41)</f>
        <v>0</v>
      </c>
      <c r="H260" s="6">
        <f>SUMPRODUCT($AA239:$AC239,$B41:$D41)</f>
        <v>0</v>
      </c>
      <c r="I260" s="6">
        <f>SUMPRODUCT($AE239:$AG239,$B41:$D41)</f>
        <v>0</v>
      </c>
      <c r="J260" s="6">
        <f>SUMPRODUCT($AI239:$AK239,$B41:$D41)</f>
        <v>0</v>
      </c>
      <c r="K260" s="10"/>
    </row>
    <row r="261" spans="1:11">
      <c r="A261" s="11" t="s">
        <v>210</v>
      </c>
      <c r="B261" s="6">
        <f>SUMPRODUCT($C240:$E240,$B42:$D42)</f>
        <v>0</v>
      </c>
      <c r="C261" s="6">
        <f>SUMPRODUCT($G240:$I240,$B42:$D42)</f>
        <v>0</v>
      </c>
      <c r="D261" s="6">
        <f>SUMPRODUCT($K240:$M240,$B42:$D42)</f>
        <v>0</v>
      </c>
      <c r="E261" s="6">
        <f>SUMPRODUCT($O240:$Q240,$B42:$D42)</f>
        <v>0</v>
      </c>
      <c r="F261" s="6">
        <f>SUMPRODUCT($S240:$U240,$B42:$D42)</f>
        <v>0</v>
      </c>
      <c r="G261" s="6">
        <f>SUMPRODUCT($W240:$Y240,$B42:$D42)</f>
        <v>0</v>
      </c>
      <c r="H261" s="6">
        <f>SUMPRODUCT($AA240:$AC240,$B42:$D42)</f>
        <v>0</v>
      </c>
      <c r="I261" s="6">
        <f>SUMPRODUCT($AE240:$AG240,$B42:$D42)</f>
        <v>0</v>
      </c>
      <c r="J261" s="6">
        <f>SUMPRODUCT($AI240:$AK240,$B42:$D42)</f>
        <v>0</v>
      </c>
      <c r="K261" s="10"/>
    </row>
    <row r="262" spans="1:11">
      <c r="A262" s="11" t="s">
        <v>175</v>
      </c>
      <c r="B262" s="6">
        <f>SUMPRODUCT($C241:$E241,$B43:$D43)</f>
        <v>0</v>
      </c>
      <c r="C262" s="6">
        <f>SUMPRODUCT($G241:$I241,$B43:$D43)</f>
        <v>0</v>
      </c>
      <c r="D262" s="6">
        <f>SUMPRODUCT($K241:$M241,$B43:$D43)</f>
        <v>0</v>
      </c>
      <c r="E262" s="6">
        <f>SUMPRODUCT($O241:$Q241,$B43:$D43)</f>
        <v>0</v>
      </c>
      <c r="F262" s="6">
        <f>SUMPRODUCT($S241:$U241,$B43:$D43)</f>
        <v>0</v>
      </c>
      <c r="G262" s="6">
        <f>SUMPRODUCT($W241:$Y241,$B43:$D43)</f>
        <v>0</v>
      </c>
      <c r="H262" s="6">
        <f>SUMPRODUCT($AA241:$AC241,$B43:$D43)</f>
        <v>0</v>
      </c>
      <c r="I262" s="6">
        <f>SUMPRODUCT($AE241:$AG241,$B43:$D43)</f>
        <v>0</v>
      </c>
      <c r="J262" s="6">
        <f>SUMPRODUCT($AI241:$AK241,$B43:$D43)</f>
        <v>0</v>
      </c>
      <c r="K262" s="10"/>
    </row>
    <row r="263" spans="1:11">
      <c r="A263" s="11" t="s">
        <v>211</v>
      </c>
      <c r="B263" s="6">
        <f>SUMPRODUCT($C242:$E242,$B44:$D44)</f>
        <v>0</v>
      </c>
      <c r="C263" s="6">
        <f>SUMPRODUCT($G242:$I242,$B44:$D44)</f>
        <v>0</v>
      </c>
      <c r="D263" s="6">
        <f>SUMPRODUCT($K242:$M242,$B44:$D44)</f>
        <v>0</v>
      </c>
      <c r="E263" s="6">
        <f>SUMPRODUCT($O242:$Q242,$B44:$D44)</f>
        <v>0</v>
      </c>
      <c r="F263" s="6">
        <f>SUMPRODUCT($S242:$U242,$B44:$D44)</f>
        <v>0</v>
      </c>
      <c r="G263" s="6">
        <f>SUMPRODUCT($W242:$Y242,$B44:$D44)</f>
        <v>0</v>
      </c>
      <c r="H263" s="6">
        <f>SUMPRODUCT($AA242:$AC242,$B44:$D44)</f>
        <v>0</v>
      </c>
      <c r="I263" s="6">
        <f>SUMPRODUCT($AE242:$AG242,$B44:$D44)</f>
        <v>0</v>
      </c>
      <c r="J263" s="6">
        <f>SUMPRODUCT($AI242:$AK242,$B44:$D44)</f>
        <v>0</v>
      </c>
      <c r="K263" s="10"/>
    </row>
    <row r="264" spans="1:11">
      <c r="A264" s="11" t="s">
        <v>176</v>
      </c>
      <c r="B264" s="6">
        <f>SUMPRODUCT($C243:$E243,$B45:$D45)</f>
        <v>0</v>
      </c>
      <c r="C264" s="6">
        <f>SUMPRODUCT($G243:$I243,$B45:$D45)</f>
        <v>0</v>
      </c>
      <c r="D264" s="6">
        <f>SUMPRODUCT($K243:$M243,$B45:$D45)</f>
        <v>0</v>
      </c>
      <c r="E264" s="6">
        <f>SUMPRODUCT($O243:$Q243,$B45:$D45)</f>
        <v>0</v>
      </c>
      <c r="F264" s="6">
        <f>SUMPRODUCT($S243:$U243,$B45:$D45)</f>
        <v>0</v>
      </c>
      <c r="G264" s="6">
        <f>SUMPRODUCT($W243:$Y243,$B45:$D45)</f>
        <v>0</v>
      </c>
      <c r="H264" s="6">
        <f>SUMPRODUCT($AA243:$AC243,$B45:$D45)</f>
        <v>0</v>
      </c>
      <c r="I264" s="6">
        <f>SUMPRODUCT($AE243:$AG243,$B45:$D45)</f>
        <v>0</v>
      </c>
      <c r="J264" s="6">
        <f>SUMPRODUCT($AI243:$AK243,$B45:$D45)</f>
        <v>0</v>
      </c>
      <c r="K264" s="10"/>
    </row>
    <row r="265" spans="1:11">
      <c r="A265" s="11" t="s">
        <v>177</v>
      </c>
      <c r="B265" s="6">
        <f>SUMPRODUCT($C244:$E244,$B46:$D46)</f>
        <v>0</v>
      </c>
      <c r="C265" s="6">
        <f>SUMPRODUCT($G244:$I244,$B46:$D46)</f>
        <v>0</v>
      </c>
      <c r="D265" s="6">
        <f>SUMPRODUCT($K244:$M244,$B46:$D46)</f>
        <v>0</v>
      </c>
      <c r="E265" s="6">
        <f>SUMPRODUCT($O244:$Q244,$B46:$D46)</f>
        <v>0</v>
      </c>
      <c r="F265" s="6">
        <f>SUMPRODUCT($S244:$U244,$B46:$D46)</f>
        <v>0</v>
      </c>
      <c r="G265" s="6">
        <f>SUMPRODUCT($W244:$Y244,$B46:$D46)</f>
        <v>0</v>
      </c>
      <c r="H265" s="6">
        <f>SUMPRODUCT($AA244:$AC244,$B46:$D46)</f>
        <v>0</v>
      </c>
      <c r="I265" s="6">
        <f>SUMPRODUCT($AE244:$AG244,$B46:$D46)</f>
        <v>0</v>
      </c>
      <c r="J265" s="6">
        <f>SUMPRODUCT($AI244:$AK244,$B46:$D46)</f>
        <v>0</v>
      </c>
      <c r="K265" s="10"/>
    </row>
    <row r="266" spans="1:11">
      <c r="A266" s="11" t="s">
        <v>191</v>
      </c>
      <c r="B266" s="6">
        <f>SUMPRODUCT($C245:$E245,$B47:$D47)</f>
        <v>0</v>
      </c>
      <c r="C266" s="6">
        <f>SUMPRODUCT($G245:$I245,$B47:$D47)</f>
        <v>0</v>
      </c>
      <c r="D266" s="6">
        <f>SUMPRODUCT($K245:$M245,$B47:$D47)</f>
        <v>0</v>
      </c>
      <c r="E266" s="6">
        <f>SUMPRODUCT($O245:$Q245,$B47:$D47)</f>
        <v>0</v>
      </c>
      <c r="F266" s="6">
        <f>SUMPRODUCT($S245:$U245,$B47:$D47)</f>
        <v>0</v>
      </c>
      <c r="G266" s="6">
        <f>SUMPRODUCT($W245:$Y245,$B47:$D47)</f>
        <v>0</v>
      </c>
      <c r="H266" s="6">
        <f>SUMPRODUCT($AA245:$AC245,$B47:$D47)</f>
        <v>0</v>
      </c>
      <c r="I266" s="6">
        <f>SUMPRODUCT($AE245:$AG245,$B47:$D47)</f>
        <v>0</v>
      </c>
      <c r="J266" s="6">
        <f>SUMPRODUCT($AI245:$AK245,$B47:$D47)</f>
        <v>0</v>
      </c>
      <c r="K266" s="10"/>
    </row>
    <row r="267" spans="1:11">
      <c r="A267" s="11" t="s">
        <v>178</v>
      </c>
      <c r="B267" s="6">
        <f>SUMPRODUCT($C246:$E246,$B48:$D48)</f>
        <v>0</v>
      </c>
      <c r="C267" s="6">
        <f>SUMPRODUCT($G246:$I246,$B48:$D48)</f>
        <v>0</v>
      </c>
      <c r="D267" s="6">
        <f>SUMPRODUCT($K246:$M246,$B48:$D48)</f>
        <v>0</v>
      </c>
      <c r="E267" s="6">
        <f>SUMPRODUCT($O246:$Q246,$B48:$D48)</f>
        <v>0</v>
      </c>
      <c r="F267" s="6">
        <f>SUMPRODUCT($S246:$U246,$B48:$D48)</f>
        <v>0</v>
      </c>
      <c r="G267" s="6">
        <f>SUMPRODUCT($W246:$Y246,$B48:$D48)</f>
        <v>0</v>
      </c>
      <c r="H267" s="6">
        <f>SUMPRODUCT($AA246:$AC246,$B48:$D48)</f>
        <v>0</v>
      </c>
      <c r="I267" s="6">
        <f>SUMPRODUCT($AE246:$AG246,$B48:$D48)</f>
        <v>0</v>
      </c>
      <c r="J267" s="6">
        <f>SUMPRODUCT($AI246:$AK246,$B48:$D48)</f>
        <v>0</v>
      </c>
      <c r="K267" s="10"/>
    </row>
    <row r="268" spans="1:11">
      <c r="A268" s="11" t="s">
        <v>179</v>
      </c>
      <c r="B268" s="6">
        <f>SUMPRODUCT($C247:$E247,$B49:$D49)</f>
        <v>0</v>
      </c>
      <c r="C268" s="6">
        <f>SUMPRODUCT($G247:$I247,$B49:$D49)</f>
        <v>0</v>
      </c>
      <c r="D268" s="6">
        <f>SUMPRODUCT($K247:$M247,$B49:$D49)</f>
        <v>0</v>
      </c>
      <c r="E268" s="6">
        <f>SUMPRODUCT($O247:$Q247,$B49:$D49)</f>
        <v>0</v>
      </c>
      <c r="F268" s="6">
        <f>SUMPRODUCT($S247:$U247,$B49:$D49)</f>
        <v>0</v>
      </c>
      <c r="G268" s="6">
        <f>SUMPRODUCT($W247:$Y247,$B49:$D49)</f>
        <v>0</v>
      </c>
      <c r="H268" s="6">
        <f>SUMPRODUCT($AA247:$AC247,$B49:$D49)</f>
        <v>0</v>
      </c>
      <c r="I268" s="6">
        <f>SUMPRODUCT($AE247:$AG247,$B49:$D49)</f>
        <v>0</v>
      </c>
      <c r="J268" s="6">
        <f>SUMPRODUCT($AI247:$AK247,$B49:$D49)</f>
        <v>0</v>
      </c>
      <c r="K268" s="10"/>
    </row>
    <row r="269" spans="1:11">
      <c r="A269" s="11" t="s">
        <v>192</v>
      </c>
      <c r="B269" s="6">
        <f>SUMPRODUCT($C248:$E248,$B50:$D50)</f>
        <v>0</v>
      </c>
      <c r="C269" s="6">
        <f>SUMPRODUCT($G248:$I248,$B50:$D50)</f>
        <v>0</v>
      </c>
      <c r="D269" s="6">
        <f>SUMPRODUCT($K248:$M248,$B50:$D50)</f>
        <v>0</v>
      </c>
      <c r="E269" s="6">
        <f>SUMPRODUCT($O248:$Q248,$B50:$D50)</f>
        <v>0</v>
      </c>
      <c r="F269" s="6">
        <f>SUMPRODUCT($S248:$U248,$B50:$D50)</f>
        <v>0</v>
      </c>
      <c r="G269" s="6">
        <f>SUMPRODUCT($W248:$Y248,$B50:$D50)</f>
        <v>0</v>
      </c>
      <c r="H269" s="6">
        <f>SUMPRODUCT($AA248:$AC248,$B50:$D50)</f>
        <v>0</v>
      </c>
      <c r="I269" s="6">
        <f>SUMPRODUCT($AE248:$AG248,$B50:$D50)</f>
        <v>0</v>
      </c>
      <c r="J269" s="6">
        <f>SUMPRODUCT($AI248:$AK248,$B50:$D50)</f>
        <v>0</v>
      </c>
      <c r="K269" s="10"/>
    </row>
    <row r="270" spans="1:11">
      <c r="A270" s="11" t="s">
        <v>183</v>
      </c>
      <c r="B270" s="6">
        <f>SUMPRODUCT($C249:$E249,$B51:$D51)</f>
        <v>0</v>
      </c>
      <c r="C270" s="6">
        <f>SUMPRODUCT($G249:$I249,$B51:$D51)</f>
        <v>0</v>
      </c>
      <c r="D270" s="6">
        <f>SUMPRODUCT($K249:$M249,$B51:$D51)</f>
        <v>0</v>
      </c>
      <c r="E270" s="6">
        <f>SUMPRODUCT($O249:$Q249,$B51:$D51)</f>
        <v>0</v>
      </c>
      <c r="F270" s="6">
        <f>SUMPRODUCT($S249:$U249,$B51:$D51)</f>
        <v>0</v>
      </c>
      <c r="G270" s="6">
        <f>SUMPRODUCT($W249:$Y249,$B51:$D51)</f>
        <v>0</v>
      </c>
      <c r="H270" s="6">
        <f>SUMPRODUCT($AA249:$AC249,$B51:$D51)</f>
        <v>0</v>
      </c>
      <c r="I270" s="6">
        <f>SUMPRODUCT($AE249:$AG249,$B51:$D51)</f>
        <v>0</v>
      </c>
      <c r="J270" s="6">
        <f>SUMPRODUCT($AI249:$AK249,$B51:$D51)</f>
        <v>0</v>
      </c>
      <c r="K270" s="10"/>
    </row>
    <row r="271" spans="1:11">
      <c r="A271" s="11" t="s">
        <v>185</v>
      </c>
      <c r="B271" s="6">
        <f>SUMPRODUCT($C250:$E250,$B52:$D52)</f>
        <v>0</v>
      </c>
      <c r="C271" s="6">
        <f>SUMPRODUCT($G250:$I250,$B52:$D52)</f>
        <v>0</v>
      </c>
      <c r="D271" s="6">
        <f>SUMPRODUCT($K250:$M250,$B52:$D52)</f>
        <v>0</v>
      </c>
      <c r="E271" s="6">
        <f>SUMPRODUCT($O250:$Q250,$B52:$D52)</f>
        <v>0</v>
      </c>
      <c r="F271" s="6">
        <f>SUMPRODUCT($S250:$U250,$B52:$D52)</f>
        <v>0</v>
      </c>
      <c r="G271" s="6">
        <f>SUMPRODUCT($W250:$Y250,$B52:$D52)</f>
        <v>0</v>
      </c>
      <c r="H271" s="6">
        <f>SUMPRODUCT($AA250:$AC250,$B52:$D52)</f>
        <v>0</v>
      </c>
      <c r="I271" s="6">
        <f>SUMPRODUCT($AE250:$AG250,$B52:$D52)</f>
        <v>0</v>
      </c>
      <c r="J271" s="6">
        <f>SUMPRODUCT($AI250:$AK250,$B52:$D52)</f>
        <v>0</v>
      </c>
      <c r="K271" s="10"/>
    </row>
    <row r="272" spans="1:11">
      <c r="A272" s="11" t="s">
        <v>194</v>
      </c>
      <c r="B272" s="6">
        <f>SUMPRODUCT($C251:$E251,$B53:$D53)</f>
        <v>0</v>
      </c>
      <c r="C272" s="6">
        <f>SUMPRODUCT($G251:$I251,$B53:$D53)</f>
        <v>0</v>
      </c>
      <c r="D272" s="6">
        <f>SUMPRODUCT($K251:$M251,$B53:$D53)</f>
        <v>0</v>
      </c>
      <c r="E272" s="6">
        <f>SUMPRODUCT($O251:$Q251,$B53:$D53)</f>
        <v>0</v>
      </c>
      <c r="F272" s="6">
        <f>SUMPRODUCT($S251:$U251,$B53:$D53)</f>
        <v>0</v>
      </c>
      <c r="G272" s="6">
        <f>SUMPRODUCT($W251:$Y251,$B53:$D53)</f>
        <v>0</v>
      </c>
      <c r="H272" s="6">
        <f>SUMPRODUCT($AA251:$AC251,$B53:$D53)</f>
        <v>0</v>
      </c>
      <c r="I272" s="6">
        <f>SUMPRODUCT($AE251:$AG251,$B53:$D53)</f>
        <v>0</v>
      </c>
      <c r="J272" s="6">
        <f>SUMPRODUCT($AI251:$AK251,$B53:$D53)</f>
        <v>0</v>
      </c>
      <c r="K272" s="10"/>
    </row>
    <row r="274" spans="1:11">
      <c r="A274" s="1" t="s">
        <v>623</v>
      </c>
    </row>
    <row r="275" spans="1:11">
      <c r="A275" s="2" t="s">
        <v>349</v>
      </c>
    </row>
    <row r="276" spans="1:11">
      <c r="A276" s="12" t="s">
        <v>621</v>
      </c>
    </row>
    <row r="277" spans="1:11">
      <c r="A277" s="12" t="s">
        <v>624</v>
      </c>
    </row>
    <row r="278" spans="1:11">
      <c r="A278" s="2" t="s">
        <v>362</v>
      </c>
    </row>
    <row r="280" spans="1:11">
      <c r="B280" s="3" t="s">
        <v>140</v>
      </c>
      <c r="C280" s="3" t="s">
        <v>141</v>
      </c>
      <c r="D280" s="3" t="s">
        <v>142</v>
      </c>
      <c r="E280" s="3" t="s">
        <v>143</v>
      </c>
      <c r="F280" s="3" t="s">
        <v>144</v>
      </c>
      <c r="G280" s="3" t="s">
        <v>149</v>
      </c>
      <c r="H280" s="3" t="s">
        <v>145</v>
      </c>
      <c r="I280" s="3" t="s">
        <v>146</v>
      </c>
      <c r="J280" s="3" t="s">
        <v>147</v>
      </c>
    </row>
    <row r="281" spans="1:11">
      <c r="A281" s="11" t="s">
        <v>173</v>
      </c>
      <c r="B281" s="6">
        <f>SUMPRODUCT($C$239:$E$239,$B79:$D79)</f>
        <v>0</v>
      </c>
      <c r="C281" s="6">
        <f>SUMPRODUCT($G$239:$I$239,$B79:$D79)</f>
        <v>0</v>
      </c>
      <c r="D281" s="6">
        <f>SUMPRODUCT($K$239:$M$239,$B79:$D79)</f>
        <v>0</v>
      </c>
      <c r="E281" s="6">
        <f>SUMPRODUCT($O$239:$Q$239,$B79:$D79)</f>
        <v>0</v>
      </c>
      <c r="F281" s="6">
        <f>SUMPRODUCT($S$239:$U$239,$B79:$D79)</f>
        <v>0</v>
      </c>
      <c r="G281" s="6">
        <f>SUMPRODUCT($W$239:$Y$239,$B79:$D79)</f>
        <v>0</v>
      </c>
      <c r="H281" s="6">
        <f>SUMPRODUCT($AA$239:$AC$239,$B79:$D79)</f>
        <v>0</v>
      </c>
      <c r="I281" s="6">
        <f>SUMPRODUCT($AE$239:$AG$239,$B79:$D79)</f>
        <v>0</v>
      </c>
      <c r="J281" s="6">
        <f>SUMPRODUCT($AI$239:$AK$239,$B79:$D79)</f>
        <v>0</v>
      </c>
      <c r="K281" s="10"/>
    </row>
    <row r="282" spans="1:11">
      <c r="A282" s="11" t="s">
        <v>175</v>
      </c>
      <c r="B282" s="6">
        <f>SUMPRODUCT($C$241:$E$241,$B80:$D80)</f>
        <v>0</v>
      </c>
      <c r="C282" s="6">
        <f>SUMPRODUCT($G$241:$I$241,$B80:$D80)</f>
        <v>0</v>
      </c>
      <c r="D282" s="6">
        <f>SUMPRODUCT($K$241:$M$241,$B80:$D80)</f>
        <v>0</v>
      </c>
      <c r="E282" s="6">
        <f>SUMPRODUCT($O$241:$Q$241,$B80:$D80)</f>
        <v>0</v>
      </c>
      <c r="F282" s="6">
        <f>SUMPRODUCT($S$241:$U$241,$B80:$D80)</f>
        <v>0</v>
      </c>
      <c r="G282" s="6">
        <f>SUMPRODUCT($W$241:$Y$241,$B80:$D80)</f>
        <v>0</v>
      </c>
      <c r="H282" s="6">
        <f>SUMPRODUCT($AA$241:$AC$241,$B80:$D80)</f>
        <v>0</v>
      </c>
      <c r="I282" s="6">
        <f>SUMPRODUCT($AE$241:$AG$241,$B80:$D80)</f>
        <v>0</v>
      </c>
      <c r="J282" s="6">
        <f>SUMPRODUCT($AI$241:$AK$241,$B80:$D80)</f>
        <v>0</v>
      </c>
      <c r="K282" s="10"/>
    </row>
    <row r="283" spans="1:11">
      <c r="A283" s="11" t="s">
        <v>176</v>
      </c>
      <c r="B283" s="6">
        <f>SUMPRODUCT($C$243:$E$243,$B81:$D81)</f>
        <v>0</v>
      </c>
      <c r="C283" s="6">
        <f>SUMPRODUCT($G$243:$I$243,$B81:$D81)</f>
        <v>0</v>
      </c>
      <c r="D283" s="6">
        <f>SUMPRODUCT($K$243:$M$243,$B81:$D81)</f>
        <v>0</v>
      </c>
      <c r="E283" s="6">
        <f>SUMPRODUCT($O$243:$Q$243,$B81:$D81)</f>
        <v>0</v>
      </c>
      <c r="F283" s="6">
        <f>SUMPRODUCT($S$243:$U$243,$B81:$D81)</f>
        <v>0</v>
      </c>
      <c r="G283" s="6">
        <f>SUMPRODUCT($W$243:$Y$243,$B81:$D81)</f>
        <v>0</v>
      </c>
      <c r="H283" s="6">
        <f>SUMPRODUCT($AA$243:$AC$243,$B81:$D81)</f>
        <v>0</v>
      </c>
      <c r="I283" s="6">
        <f>SUMPRODUCT($AE$243:$AG$243,$B81:$D81)</f>
        <v>0</v>
      </c>
      <c r="J283" s="6">
        <f>SUMPRODUCT($AI$243:$AK$243,$B81:$D81)</f>
        <v>0</v>
      </c>
      <c r="K283" s="10"/>
    </row>
    <row r="284" spans="1:11">
      <c r="A284" s="11" t="s">
        <v>177</v>
      </c>
      <c r="B284" s="6">
        <f>SUMPRODUCT($C$244:$E$244,$B82:$D82)</f>
        <v>0</v>
      </c>
      <c r="C284" s="6">
        <f>SUMPRODUCT($G$244:$I$244,$B82:$D82)</f>
        <v>0</v>
      </c>
      <c r="D284" s="6">
        <f>SUMPRODUCT($K$244:$M$244,$B82:$D82)</f>
        <v>0</v>
      </c>
      <c r="E284" s="6">
        <f>SUMPRODUCT($O$244:$Q$244,$B82:$D82)</f>
        <v>0</v>
      </c>
      <c r="F284" s="6">
        <f>SUMPRODUCT($S$244:$U$244,$B82:$D82)</f>
        <v>0</v>
      </c>
      <c r="G284" s="6">
        <f>SUMPRODUCT($W$244:$Y$244,$B82:$D82)</f>
        <v>0</v>
      </c>
      <c r="H284" s="6">
        <f>SUMPRODUCT($AA$244:$AC$244,$B82:$D82)</f>
        <v>0</v>
      </c>
      <c r="I284" s="6">
        <f>SUMPRODUCT($AE$244:$AG$244,$B82:$D82)</f>
        <v>0</v>
      </c>
      <c r="J284" s="6">
        <f>SUMPRODUCT($AI$244:$AK$244,$B82:$D82)</f>
        <v>0</v>
      </c>
      <c r="K284" s="10"/>
    </row>
    <row r="285" spans="1:11">
      <c r="A285" s="11" t="s">
        <v>191</v>
      </c>
      <c r="B285" s="6">
        <f>SUMPRODUCT($C$245:$E$245,$B83:$D83)</f>
        <v>0</v>
      </c>
      <c r="C285" s="6">
        <f>SUMPRODUCT($G$245:$I$245,$B83:$D83)</f>
        <v>0</v>
      </c>
      <c r="D285" s="6">
        <f>SUMPRODUCT($K$245:$M$245,$B83:$D83)</f>
        <v>0</v>
      </c>
      <c r="E285" s="6">
        <f>SUMPRODUCT($O$245:$Q$245,$B83:$D83)</f>
        <v>0</v>
      </c>
      <c r="F285" s="6">
        <f>SUMPRODUCT($S$245:$U$245,$B83:$D83)</f>
        <v>0</v>
      </c>
      <c r="G285" s="6">
        <f>SUMPRODUCT($W$245:$Y$245,$B83:$D83)</f>
        <v>0</v>
      </c>
      <c r="H285" s="6">
        <f>SUMPRODUCT($AA$245:$AC$245,$B83:$D83)</f>
        <v>0</v>
      </c>
      <c r="I285" s="6">
        <f>SUMPRODUCT($AE$245:$AG$245,$B83:$D83)</f>
        <v>0</v>
      </c>
      <c r="J285" s="6">
        <f>SUMPRODUCT($AI$245:$AK$245,$B83:$D83)</f>
        <v>0</v>
      </c>
      <c r="K285" s="10"/>
    </row>
    <row r="286" spans="1:11">
      <c r="A286" s="11" t="s">
        <v>178</v>
      </c>
      <c r="B286" s="6">
        <f>SUMPRODUCT($C$246:$E$246,$B84:$D84)</f>
        <v>0</v>
      </c>
      <c r="C286" s="6">
        <f>SUMPRODUCT($G$246:$I$246,$B84:$D84)</f>
        <v>0</v>
      </c>
      <c r="D286" s="6">
        <f>SUMPRODUCT($K$246:$M$246,$B84:$D84)</f>
        <v>0</v>
      </c>
      <c r="E286" s="6">
        <f>SUMPRODUCT($O$246:$Q$246,$B84:$D84)</f>
        <v>0</v>
      </c>
      <c r="F286" s="6">
        <f>SUMPRODUCT($S$246:$U$246,$B84:$D84)</f>
        <v>0</v>
      </c>
      <c r="G286" s="6">
        <f>SUMPRODUCT($W$246:$Y$246,$B84:$D84)</f>
        <v>0</v>
      </c>
      <c r="H286" s="6">
        <f>SUMPRODUCT($AA$246:$AC$246,$B84:$D84)</f>
        <v>0</v>
      </c>
      <c r="I286" s="6">
        <f>SUMPRODUCT($AE$246:$AG$246,$B84:$D84)</f>
        <v>0</v>
      </c>
      <c r="J286" s="6">
        <f>SUMPRODUCT($AI$246:$AK$246,$B84:$D84)</f>
        <v>0</v>
      </c>
      <c r="K286" s="10"/>
    </row>
    <row r="287" spans="1:11">
      <c r="A287" s="11" t="s">
        <v>179</v>
      </c>
      <c r="B287" s="6">
        <f>SUMPRODUCT($C$247:$E$247,$B85:$D85)</f>
        <v>0</v>
      </c>
      <c r="C287" s="6">
        <f>SUMPRODUCT($G$247:$I$247,$B85:$D85)</f>
        <v>0</v>
      </c>
      <c r="D287" s="6">
        <f>SUMPRODUCT($K$247:$M$247,$B85:$D85)</f>
        <v>0</v>
      </c>
      <c r="E287" s="6">
        <f>SUMPRODUCT($O$247:$Q$247,$B85:$D85)</f>
        <v>0</v>
      </c>
      <c r="F287" s="6">
        <f>SUMPRODUCT($S$247:$U$247,$B85:$D85)</f>
        <v>0</v>
      </c>
      <c r="G287" s="6">
        <f>SUMPRODUCT($W$247:$Y$247,$B85:$D85)</f>
        <v>0</v>
      </c>
      <c r="H287" s="6">
        <f>SUMPRODUCT($AA$247:$AC$247,$B85:$D85)</f>
        <v>0</v>
      </c>
      <c r="I287" s="6">
        <f>SUMPRODUCT($AE$247:$AG$247,$B85:$D85)</f>
        <v>0</v>
      </c>
      <c r="J287" s="6">
        <f>SUMPRODUCT($AI$247:$AK$247,$B85:$D85)</f>
        <v>0</v>
      </c>
      <c r="K287" s="10"/>
    </row>
    <row r="288" spans="1:11">
      <c r="A288" s="11" t="s">
        <v>192</v>
      </c>
      <c r="B288" s="6">
        <f>SUMPRODUCT($C$248:$E$248,$B86:$D86)</f>
        <v>0</v>
      </c>
      <c r="C288" s="6">
        <f>SUMPRODUCT($G$248:$I$248,$B86:$D86)</f>
        <v>0</v>
      </c>
      <c r="D288" s="6">
        <f>SUMPRODUCT($K$248:$M$248,$B86:$D86)</f>
        <v>0</v>
      </c>
      <c r="E288" s="6">
        <f>SUMPRODUCT($O$248:$Q$248,$B86:$D86)</f>
        <v>0</v>
      </c>
      <c r="F288" s="6">
        <f>SUMPRODUCT($S$248:$U$248,$B86:$D86)</f>
        <v>0</v>
      </c>
      <c r="G288" s="6">
        <f>SUMPRODUCT($W$248:$Y$248,$B86:$D86)</f>
        <v>0</v>
      </c>
      <c r="H288" s="6">
        <f>SUMPRODUCT($AA$248:$AC$248,$B86:$D86)</f>
        <v>0</v>
      </c>
      <c r="I288" s="6">
        <f>SUMPRODUCT($AE$248:$AG$248,$B86:$D86)</f>
        <v>0</v>
      </c>
      <c r="J288" s="6">
        <f>SUMPRODUCT($AI$248:$AK$248,$B86:$D86)</f>
        <v>0</v>
      </c>
      <c r="K288" s="10"/>
    </row>
    <row r="289" spans="1:11">
      <c r="A289" s="11" t="s">
        <v>183</v>
      </c>
      <c r="B289" s="6">
        <f>SUMPRODUCT($C$249:$E$249,$B87:$D87)</f>
        <v>0</v>
      </c>
      <c r="C289" s="6">
        <f>SUMPRODUCT($G$249:$I$249,$B87:$D87)</f>
        <v>0</v>
      </c>
      <c r="D289" s="6">
        <f>SUMPRODUCT($K$249:$M$249,$B87:$D87)</f>
        <v>0</v>
      </c>
      <c r="E289" s="6">
        <f>SUMPRODUCT($O$249:$Q$249,$B87:$D87)</f>
        <v>0</v>
      </c>
      <c r="F289" s="6">
        <f>SUMPRODUCT($S$249:$U$249,$B87:$D87)</f>
        <v>0</v>
      </c>
      <c r="G289" s="6">
        <f>SUMPRODUCT($W$249:$Y$249,$B87:$D87)</f>
        <v>0</v>
      </c>
      <c r="H289" s="6">
        <f>SUMPRODUCT($AA$249:$AC$249,$B87:$D87)</f>
        <v>0</v>
      </c>
      <c r="I289" s="6">
        <f>SUMPRODUCT($AE$249:$AG$249,$B87:$D87)</f>
        <v>0</v>
      </c>
      <c r="J289" s="6">
        <f>SUMPRODUCT($AI$249:$AK$249,$B87:$D87)</f>
        <v>0</v>
      </c>
      <c r="K289" s="10"/>
    </row>
    <row r="290" spans="1:11">
      <c r="A290" s="11" t="s">
        <v>185</v>
      </c>
      <c r="B290" s="6">
        <f>SUMPRODUCT($C$250:$E$250,$B88:$D88)</f>
        <v>0</v>
      </c>
      <c r="C290" s="6">
        <f>SUMPRODUCT($G$250:$I$250,$B88:$D88)</f>
        <v>0</v>
      </c>
      <c r="D290" s="6">
        <f>SUMPRODUCT($K$250:$M$250,$B88:$D88)</f>
        <v>0</v>
      </c>
      <c r="E290" s="6">
        <f>SUMPRODUCT($O$250:$Q$250,$B88:$D88)</f>
        <v>0</v>
      </c>
      <c r="F290" s="6">
        <f>SUMPRODUCT($S$250:$U$250,$B88:$D88)</f>
        <v>0</v>
      </c>
      <c r="G290" s="6">
        <f>SUMPRODUCT($W$250:$Y$250,$B88:$D88)</f>
        <v>0</v>
      </c>
      <c r="H290" s="6">
        <f>SUMPRODUCT($AA$250:$AC$250,$B88:$D88)</f>
        <v>0</v>
      </c>
      <c r="I290" s="6">
        <f>SUMPRODUCT($AE$250:$AG$250,$B88:$D88)</f>
        <v>0</v>
      </c>
      <c r="J290" s="6">
        <f>SUMPRODUCT($AI$250:$AK$250,$B88:$D88)</f>
        <v>0</v>
      </c>
      <c r="K290" s="10"/>
    </row>
    <row r="291" spans="1:11">
      <c r="A291" s="11" t="s">
        <v>194</v>
      </c>
      <c r="B291" s="6">
        <f>SUMPRODUCT($C$251:$E$251,$B89:$D89)</f>
        <v>0</v>
      </c>
      <c r="C291" s="6">
        <f>SUMPRODUCT($G$251:$I$251,$B89:$D89)</f>
        <v>0</v>
      </c>
      <c r="D291" s="6">
        <f>SUMPRODUCT($K$251:$M$251,$B89:$D89)</f>
        <v>0</v>
      </c>
      <c r="E291" s="6">
        <f>SUMPRODUCT($O$251:$Q$251,$B89:$D89)</f>
        <v>0</v>
      </c>
      <c r="F291" s="6">
        <f>SUMPRODUCT($S$251:$U$251,$B89:$D89)</f>
        <v>0</v>
      </c>
      <c r="G291" s="6">
        <f>SUMPRODUCT($W$251:$Y$251,$B89:$D89)</f>
        <v>0</v>
      </c>
      <c r="H291" s="6">
        <f>SUMPRODUCT($AA$251:$AC$251,$B89:$D89)</f>
        <v>0</v>
      </c>
      <c r="I291" s="6">
        <f>SUMPRODUCT($AE$251:$AG$251,$B89:$D89)</f>
        <v>0</v>
      </c>
      <c r="J291" s="6">
        <f>SUMPRODUCT($AI$251:$AK$251,$B89:$D89)</f>
        <v>0</v>
      </c>
      <c r="K291" s="10"/>
    </row>
    <row r="293" spans="1:11">
      <c r="A293" s="1" t="s">
        <v>625</v>
      </c>
    </row>
    <row r="294" spans="1:11">
      <c r="A294" s="2" t="s">
        <v>349</v>
      </c>
    </row>
    <row r="295" spans="1:11">
      <c r="A295" s="12" t="s">
        <v>621</v>
      </c>
    </row>
    <row r="296" spans="1:11">
      <c r="A296" s="12" t="s">
        <v>626</v>
      </c>
    </row>
    <row r="297" spans="1:11">
      <c r="A297" s="2" t="s">
        <v>362</v>
      </c>
    </row>
    <row r="299" spans="1:11">
      <c r="B299" s="3" t="s">
        <v>140</v>
      </c>
      <c r="C299" s="3" t="s">
        <v>141</v>
      </c>
      <c r="D299" s="3" t="s">
        <v>142</v>
      </c>
      <c r="E299" s="3" t="s">
        <v>143</v>
      </c>
      <c r="F299" s="3" t="s">
        <v>144</v>
      </c>
      <c r="G299" s="3" t="s">
        <v>149</v>
      </c>
      <c r="H299" s="3" t="s">
        <v>145</v>
      </c>
      <c r="I299" s="3" t="s">
        <v>146</v>
      </c>
      <c r="J299" s="3" t="s">
        <v>147</v>
      </c>
    </row>
    <row r="300" spans="1:11">
      <c r="A300" s="11" t="s">
        <v>178</v>
      </c>
      <c r="B300" s="6">
        <f>SUMPRODUCT($C$246:$E$246,$B94:$D94)</f>
        <v>0</v>
      </c>
      <c r="C300" s="6">
        <f>SUMPRODUCT($G$246:$I$246,$B94:$D94)</f>
        <v>0</v>
      </c>
      <c r="D300" s="6">
        <f>SUMPRODUCT($K$246:$M$246,$B94:$D94)</f>
        <v>0</v>
      </c>
      <c r="E300" s="6">
        <f>SUMPRODUCT($O$246:$Q$246,$B94:$D94)</f>
        <v>0</v>
      </c>
      <c r="F300" s="6">
        <f>SUMPRODUCT($S$246:$U$246,$B94:$D94)</f>
        <v>0</v>
      </c>
      <c r="G300" s="6">
        <f>SUMPRODUCT($W$246:$Y$246,$B94:$D94)</f>
        <v>0</v>
      </c>
      <c r="H300" s="6">
        <f>SUMPRODUCT($AA$246:$AC$246,$B94:$D94)</f>
        <v>0</v>
      </c>
      <c r="I300" s="6">
        <f>SUMPRODUCT($AE$246:$AG$246,$B94:$D94)</f>
        <v>0</v>
      </c>
      <c r="J300" s="6">
        <f>SUMPRODUCT($AI$246:$AK$246,$B94:$D94)</f>
        <v>0</v>
      </c>
      <c r="K300" s="10"/>
    </row>
    <row r="301" spans="1:11">
      <c r="A301" s="11" t="s">
        <v>179</v>
      </c>
      <c r="B301" s="6">
        <f>SUMPRODUCT($C$247:$E$247,$B95:$D95)</f>
        <v>0</v>
      </c>
      <c r="C301" s="6">
        <f>SUMPRODUCT($G$247:$I$247,$B95:$D95)</f>
        <v>0</v>
      </c>
      <c r="D301" s="6">
        <f>SUMPRODUCT($K$247:$M$247,$B95:$D95)</f>
        <v>0</v>
      </c>
      <c r="E301" s="6">
        <f>SUMPRODUCT($O$247:$Q$247,$B95:$D95)</f>
        <v>0</v>
      </c>
      <c r="F301" s="6">
        <f>SUMPRODUCT($S$247:$U$247,$B95:$D95)</f>
        <v>0</v>
      </c>
      <c r="G301" s="6">
        <f>SUMPRODUCT($W$247:$Y$247,$B95:$D95)</f>
        <v>0</v>
      </c>
      <c r="H301" s="6">
        <f>SUMPRODUCT($AA$247:$AC$247,$B95:$D95)</f>
        <v>0</v>
      </c>
      <c r="I301" s="6">
        <f>SUMPRODUCT($AE$247:$AG$247,$B95:$D95)</f>
        <v>0</v>
      </c>
      <c r="J301" s="6">
        <f>SUMPRODUCT($AI$247:$AK$247,$B95:$D95)</f>
        <v>0</v>
      </c>
      <c r="K301" s="10"/>
    </row>
    <row r="302" spans="1:11">
      <c r="A302" s="11" t="s">
        <v>192</v>
      </c>
      <c r="B302" s="6">
        <f>SUMPRODUCT($C$248:$E$248,$B96:$D96)</f>
        <v>0</v>
      </c>
      <c r="C302" s="6">
        <f>SUMPRODUCT($G$248:$I$248,$B96:$D96)</f>
        <v>0</v>
      </c>
      <c r="D302" s="6">
        <f>SUMPRODUCT($K$248:$M$248,$B96:$D96)</f>
        <v>0</v>
      </c>
      <c r="E302" s="6">
        <f>SUMPRODUCT($O$248:$Q$248,$B96:$D96)</f>
        <v>0</v>
      </c>
      <c r="F302" s="6">
        <f>SUMPRODUCT($S$248:$U$248,$B96:$D96)</f>
        <v>0</v>
      </c>
      <c r="G302" s="6">
        <f>SUMPRODUCT($W$248:$Y$248,$B96:$D96)</f>
        <v>0</v>
      </c>
      <c r="H302" s="6">
        <f>SUMPRODUCT($AA$248:$AC$248,$B96:$D96)</f>
        <v>0</v>
      </c>
      <c r="I302" s="6">
        <f>SUMPRODUCT($AE$248:$AG$248,$B96:$D96)</f>
        <v>0</v>
      </c>
      <c r="J302" s="6">
        <f>SUMPRODUCT($AI$248:$AK$248,$B96:$D96)</f>
        <v>0</v>
      </c>
      <c r="K302" s="10"/>
    </row>
    <row r="303" spans="1:11">
      <c r="A303" s="11" t="s">
        <v>183</v>
      </c>
      <c r="B303" s="6">
        <f>SUMPRODUCT($C$249:$E$249,$B97:$D97)</f>
        <v>0</v>
      </c>
      <c r="C303" s="6">
        <f>SUMPRODUCT($G$249:$I$249,$B97:$D97)</f>
        <v>0</v>
      </c>
      <c r="D303" s="6">
        <f>SUMPRODUCT($K$249:$M$249,$B97:$D97)</f>
        <v>0</v>
      </c>
      <c r="E303" s="6">
        <f>SUMPRODUCT($O$249:$Q$249,$B97:$D97)</f>
        <v>0</v>
      </c>
      <c r="F303" s="6">
        <f>SUMPRODUCT($S$249:$U$249,$B97:$D97)</f>
        <v>0</v>
      </c>
      <c r="G303" s="6">
        <f>SUMPRODUCT($W$249:$Y$249,$B97:$D97)</f>
        <v>0</v>
      </c>
      <c r="H303" s="6">
        <f>SUMPRODUCT($AA$249:$AC$249,$B97:$D97)</f>
        <v>0</v>
      </c>
      <c r="I303" s="6">
        <f>SUMPRODUCT($AE$249:$AG$249,$B97:$D97)</f>
        <v>0</v>
      </c>
      <c r="J303" s="6">
        <f>SUMPRODUCT($AI$249:$AK$249,$B97:$D97)</f>
        <v>0</v>
      </c>
      <c r="K303" s="10"/>
    </row>
    <row r="304" spans="1:11">
      <c r="A304" s="11" t="s">
        <v>185</v>
      </c>
      <c r="B304" s="6">
        <f>SUMPRODUCT($C$250:$E$250,$B98:$D98)</f>
        <v>0</v>
      </c>
      <c r="C304" s="6">
        <f>SUMPRODUCT($G$250:$I$250,$B98:$D98)</f>
        <v>0</v>
      </c>
      <c r="D304" s="6">
        <f>SUMPRODUCT($K$250:$M$250,$B98:$D98)</f>
        <v>0</v>
      </c>
      <c r="E304" s="6">
        <f>SUMPRODUCT($O$250:$Q$250,$B98:$D98)</f>
        <v>0</v>
      </c>
      <c r="F304" s="6">
        <f>SUMPRODUCT($S$250:$U$250,$B98:$D98)</f>
        <v>0</v>
      </c>
      <c r="G304" s="6">
        <f>SUMPRODUCT($W$250:$Y$250,$B98:$D98)</f>
        <v>0</v>
      </c>
      <c r="H304" s="6">
        <f>SUMPRODUCT($AA$250:$AC$250,$B98:$D98)</f>
        <v>0</v>
      </c>
      <c r="I304" s="6">
        <f>SUMPRODUCT($AE$250:$AG$250,$B98:$D98)</f>
        <v>0</v>
      </c>
      <c r="J304" s="6">
        <f>SUMPRODUCT($AI$250:$AK$250,$B98:$D98)</f>
        <v>0</v>
      </c>
      <c r="K304" s="10"/>
    </row>
    <row r="305" spans="1:11">
      <c r="A305" s="11" t="s">
        <v>194</v>
      </c>
      <c r="B305" s="6">
        <f>SUMPRODUCT($C$251:$E$251,$B99:$D99)</f>
        <v>0</v>
      </c>
      <c r="C305" s="6">
        <f>SUMPRODUCT($G$251:$I$251,$B99:$D99)</f>
        <v>0</v>
      </c>
      <c r="D305" s="6">
        <f>SUMPRODUCT($K$251:$M$251,$B99:$D99)</f>
        <v>0</v>
      </c>
      <c r="E305" s="6">
        <f>SUMPRODUCT($O$251:$Q$251,$B99:$D99)</f>
        <v>0</v>
      </c>
      <c r="F305" s="6">
        <f>SUMPRODUCT($S$251:$U$251,$B99:$D99)</f>
        <v>0</v>
      </c>
      <c r="G305" s="6">
        <f>SUMPRODUCT($W$251:$Y$251,$B99:$D99)</f>
        <v>0</v>
      </c>
      <c r="H305" s="6">
        <f>SUMPRODUCT($AA$251:$AC$251,$B99:$D99)</f>
        <v>0</v>
      </c>
      <c r="I305" s="6">
        <f>SUMPRODUCT($AE$251:$AG$251,$B99:$D99)</f>
        <v>0</v>
      </c>
      <c r="J305" s="6">
        <f>SUMPRODUCT($AI$251:$AK$251,$B99:$D99)</f>
        <v>0</v>
      </c>
      <c r="K305" s="10"/>
    </row>
    <row r="307" spans="1:11">
      <c r="A307" s="1" t="s">
        <v>627</v>
      </c>
    </row>
    <row r="308" spans="1:11">
      <c r="A308" s="2" t="s">
        <v>349</v>
      </c>
    </row>
    <row r="309" spans="1:11">
      <c r="A309" s="12" t="s">
        <v>628</v>
      </c>
    </row>
    <row r="310" spans="1:11">
      <c r="A310" s="12" t="s">
        <v>540</v>
      </c>
    </row>
    <row r="311" spans="1:11">
      <c r="A311" s="12" t="s">
        <v>629</v>
      </c>
    </row>
    <row r="312" spans="1:11">
      <c r="A312" s="26" t="s">
        <v>352</v>
      </c>
      <c r="B312" s="26" t="s">
        <v>483</v>
      </c>
      <c r="C312" s="26" t="s">
        <v>482</v>
      </c>
      <c r="D312" s="26"/>
      <c r="E312" s="26"/>
    </row>
    <row r="313" spans="1:11">
      <c r="A313" s="26" t="s">
        <v>355</v>
      </c>
      <c r="B313" s="26" t="s">
        <v>533</v>
      </c>
      <c r="C313" s="26" t="s">
        <v>542</v>
      </c>
      <c r="D313" s="26"/>
      <c r="E313" s="26"/>
    </row>
    <row r="315" spans="1:11">
      <c r="C315" s="25" t="s">
        <v>630</v>
      </c>
      <c r="D315" s="25"/>
      <c r="E315" s="25"/>
    </row>
    <row r="316" spans="1:11">
      <c r="B316" s="3" t="s">
        <v>543</v>
      </c>
      <c r="C316" s="3" t="s">
        <v>322</v>
      </c>
      <c r="D316" s="3" t="s">
        <v>323</v>
      </c>
      <c r="E316" s="3" t="s">
        <v>319</v>
      </c>
    </row>
    <row r="317" spans="1:11">
      <c r="A317" s="11" t="s">
        <v>631</v>
      </c>
      <c r="B317" s="32">
        <f>SUM('Input'!$B327:$D327)</f>
        <v>0</v>
      </c>
      <c r="C317" s="32">
        <f>'Input'!B327*24*'Input'!$F58/$B317</f>
        <v>0</v>
      </c>
      <c r="D317" s="32">
        <f>'Input'!C327*24*'Input'!$F58/$B317</f>
        <v>0</v>
      </c>
      <c r="E317" s="32">
        <f>'Input'!D327*24*'Input'!$F58/$B317</f>
        <v>0</v>
      </c>
      <c r="F317" s="10"/>
    </row>
    <row r="319" spans="1:11">
      <c r="A319" s="1" t="s">
        <v>632</v>
      </c>
    </row>
    <row r="320" spans="1:11">
      <c r="A320" s="2" t="s">
        <v>349</v>
      </c>
    </row>
    <row r="321" spans="1:6">
      <c r="A321" s="12" t="s">
        <v>633</v>
      </c>
    </row>
    <row r="322" spans="1:6">
      <c r="A322" s="12" t="s">
        <v>634</v>
      </c>
    </row>
    <row r="323" spans="1:6">
      <c r="A323" s="12" t="s">
        <v>635</v>
      </c>
    </row>
    <row r="324" spans="1:6">
      <c r="A324" s="12" t="s">
        <v>550</v>
      </c>
    </row>
    <row r="325" spans="1:6">
      <c r="A325" s="26" t="s">
        <v>352</v>
      </c>
      <c r="B325" s="26" t="s">
        <v>483</v>
      </c>
      <c r="C325" s="26" t="s">
        <v>482</v>
      </c>
      <c r="D325" s="26"/>
      <c r="E325" s="26"/>
    </row>
    <row r="326" spans="1:6">
      <c r="A326" s="26" t="s">
        <v>355</v>
      </c>
      <c r="B326" s="26" t="s">
        <v>533</v>
      </c>
      <c r="C326" s="26" t="s">
        <v>551</v>
      </c>
      <c r="D326" s="26"/>
      <c r="E326" s="26"/>
    </row>
    <row r="328" spans="1:6">
      <c r="C328" s="25" t="s">
        <v>636</v>
      </c>
      <c r="D328" s="25"/>
      <c r="E328" s="25"/>
    </row>
    <row r="329" spans="1:6">
      <c r="B329" s="3" t="s">
        <v>552</v>
      </c>
      <c r="C329" s="3" t="s">
        <v>322</v>
      </c>
      <c r="D329" s="3" t="s">
        <v>323</v>
      </c>
      <c r="E329" s="3" t="s">
        <v>319</v>
      </c>
    </row>
    <row r="330" spans="1:6">
      <c r="A330" s="11" t="s">
        <v>212</v>
      </c>
      <c r="B330" s="29">
        <f>SUM('Input'!$B317:$D317)</f>
        <v>0</v>
      </c>
      <c r="C330" s="29">
        <f>IF($B330,'Input'!B317/$B330,C$317/'Input'!$F$58/24)</f>
        <v>0</v>
      </c>
      <c r="D330" s="29">
        <f>IF($B330,'Input'!C317/$B330,D$317/'Input'!$F$58/24)</f>
        <v>0</v>
      </c>
      <c r="E330" s="29">
        <f>IF($B330,'Input'!D317/$B330,E$317/'Input'!$F$58/24)</f>
        <v>0</v>
      </c>
      <c r="F330" s="10"/>
    </row>
    <row r="331" spans="1:6">
      <c r="A331" s="11" t="s">
        <v>213</v>
      </c>
      <c r="B331" s="29">
        <f>SUM('Input'!$B318:$D318)</f>
        <v>0</v>
      </c>
      <c r="C331" s="29">
        <f>IF($B331,'Input'!B318/$B331,C$317/'Input'!$F$58/24)</f>
        <v>0</v>
      </c>
      <c r="D331" s="29">
        <f>IF($B331,'Input'!C318/$B331,D$317/'Input'!$F$58/24)</f>
        <v>0</v>
      </c>
      <c r="E331" s="29">
        <f>IF($B331,'Input'!D318/$B331,E$317/'Input'!$F$58/24)</f>
        <v>0</v>
      </c>
      <c r="F331" s="10"/>
    </row>
    <row r="332" spans="1:6">
      <c r="A332" s="11" t="s">
        <v>214</v>
      </c>
      <c r="B332" s="29">
        <f>SUM('Input'!$B319:$D319)</f>
        <v>0</v>
      </c>
      <c r="C332" s="29">
        <f>IF($B332,'Input'!B319/$B332,C$317/'Input'!$F$58/24)</f>
        <v>0</v>
      </c>
      <c r="D332" s="29">
        <f>IF($B332,'Input'!C319/$B332,D$317/'Input'!$F$58/24)</f>
        <v>0</v>
      </c>
      <c r="E332" s="29">
        <f>IF($B332,'Input'!D319/$B332,E$317/'Input'!$F$58/24)</f>
        <v>0</v>
      </c>
      <c r="F332" s="10"/>
    </row>
    <row r="333" spans="1:6">
      <c r="A333" s="11" t="s">
        <v>215</v>
      </c>
      <c r="B333" s="29">
        <f>SUM('Input'!$B320:$D320)</f>
        <v>0</v>
      </c>
      <c r="C333" s="29">
        <f>IF($B333,'Input'!B320/$B333,C$317/'Input'!$F$58/24)</f>
        <v>0</v>
      </c>
      <c r="D333" s="29">
        <f>IF($B333,'Input'!C320/$B333,D$317/'Input'!$F$58/24)</f>
        <v>0</v>
      </c>
      <c r="E333" s="29">
        <f>IF($B333,'Input'!D320/$B333,E$317/'Input'!$F$58/24)</f>
        <v>0</v>
      </c>
      <c r="F333" s="10"/>
    </row>
    <row r="335" spans="1:6">
      <c r="A335" s="1" t="s">
        <v>637</v>
      </c>
    </row>
    <row r="336" spans="1:6">
      <c r="A336" s="2" t="s">
        <v>349</v>
      </c>
    </row>
    <row r="337" spans="1:5">
      <c r="A337" s="12" t="s">
        <v>638</v>
      </c>
    </row>
    <row r="338" spans="1:5">
      <c r="A338" s="2" t="s">
        <v>639</v>
      </c>
    </row>
    <row r="339" spans="1:5">
      <c r="A339" s="2" t="s">
        <v>367</v>
      </c>
    </row>
    <row r="341" spans="1:5">
      <c r="B341" s="3" t="s">
        <v>322</v>
      </c>
      <c r="C341" s="3" t="s">
        <v>323</v>
      </c>
      <c r="D341" s="3" t="s">
        <v>319</v>
      </c>
    </row>
    <row r="342" spans="1:5">
      <c r="A342" s="11" t="s">
        <v>212</v>
      </c>
      <c r="B342" s="31">
        <f>C$330</f>
        <v>0</v>
      </c>
      <c r="C342" s="31">
        <f>D$330</f>
        <v>0</v>
      </c>
      <c r="D342" s="31">
        <f>E$330</f>
        <v>0</v>
      </c>
      <c r="E342" s="10"/>
    </row>
    <row r="343" spans="1:5">
      <c r="A343" s="11" t="s">
        <v>213</v>
      </c>
      <c r="B343" s="31">
        <f>C$331</f>
        <v>0</v>
      </c>
      <c r="C343" s="31">
        <f>D$331</f>
        <v>0</v>
      </c>
      <c r="D343" s="31">
        <f>E$331</f>
        <v>0</v>
      </c>
      <c r="E343" s="10"/>
    </row>
    <row r="344" spans="1:5">
      <c r="A344" s="11" t="s">
        <v>214</v>
      </c>
      <c r="B344" s="31">
        <f>C$332</f>
        <v>0</v>
      </c>
      <c r="C344" s="31">
        <f>D$332</f>
        <v>0</v>
      </c>
      <c r="D344" s="31">
        <f>E$332</f>
        <v>0</v>
      </c>
      <c r="E344" s="10"/>
    </row>
    <row r="345" spans="1:5">
      <c r="A345" s="11" t="s">
        <v>215</v>
      </c>
      <c r="B345" s="31">
        <f>C$333</f>
        <v>0</v>
      </c>
      <c r="C345" s="31">
        <f>D$333</f>
        <v>0</v>
      </c>
      <c r="D345" s="31">
        <f>E$333</f>
        <v>0</v>
      </c>
      <c r="E345" s="10"/>
    </row>
    <row r="346" spans="1:5">
      <c r="A346" s="11" t="s">
        <v>216</v>
      </c>
      <c r="B346" s="30">
        <v>1</v>
      </c>
      <c r="C346" s="30">
        <v>0</v>
      </c>
      <c r="D346" s="30">
        <v>0</v>
      </c>
      <c r="E346" s="10"/>
    </row>
    <row r="348" spans="1:5">
      <c r="A348" s="1" t="s">
        <v>640</v>
      </c>
    </row>
    <row r="350" spans="1:5">
      <c r="B350" s="3" t="s">
        <v>322</v>
      </c>
      <c r="C350" s="3" t="s">
        <v>323</v>
      </c>
      <c r="D350" s="3" t="s">
        <v>319</v>
      </c>
    </row>
    <row r="351" spans="1:5">
      <c r="A351" s="11" t="s">
        <v>216</v>
      </c>
      <c r="B351" s="30">
        <v>0</v>
      </c>
      <c r="C351" s="30">
        <v>1</v>
      </c>
      <c r="D351" s="30">
        <v>0</v>
      </c>
      <c r="E351" s="10"/>
    </row>
    <row r="353" spans="1:5">
      <c r="A353" s="1" t="s">
        <v>641</v>
      </c>
    </row>
    <row r="355" spans="1:5">
      <c r="B355" s="3" t="s">
        <v>322</v>
      </c>
      <c r="C355" s="3" t="s">
        <v>323</v>
      </c>
      <c r="D355" s="3" t="s">
        <v>319</v>
      </c>
    </row>
    <row r="356" spans="1:5">
      <c r="A356" s="11" t="s">
        <v>216</v>
      </c>
      <c r="B356" s="30">
        <v>0</v>
      </c>
      <c r="C356" s="30">
        <v>0</v>
      </c>
      <c r="D356" s="30">
        <v>1</v>
      </c>
      <c r="E356" s="10"/>
    </row>
    <row r="358" spans="1:5">
      <c r="A358" s="1" t="s">
        <v>642</v>
      </c>
    </row>
    <row r="359" spans="1:5">
      <c r="A359" s="2" t="s">
        <v>349</v>
      </c>
    </row>
    <row r="360" spans="1:5">
      <c r="A360" s="12" t="s">
        <v>572</v>
      </c>
    </row>
    <row r="361" spans="1:5">
      <c r="A361" s="12" t="s">
        <v>573</v>
      </c>
    </row>
    <row r="362" spans="1:5">
      <c r="A362" s="12" t="s">
        <v>643</v>
      </c>
    </row>
    <row r="363" spans="1:5">
      <c r="A363" s="12" t="s">
        <v>644</v>
      </c>
    </row>
    <row r="364" spans="1:5">
      <c r="A364" s="12" t="s">
        <v>645</v>
      </c>
    </row>
    <row r="365" spans="1:5">
      <c r="A365" s="12" t="s">
        <v>646</v>
      </c>
    </row>
    <row r="366" spans="1:5">
      <c r="A366" s="26" t="s">
        <v>352</v>
      </c>
      <c r="B366" s="26" t="s">
        <v>482</v>
      </c>
      <c r="C366" s="26"/>
      <c r="D366" s="26"/>
      <c r="E366" s="26" t="s">
        <v>482</v>
      </c>
    </row>
    <row r="367" spans="1:5">
      <c r="A367" s="26" t="s">
        <v>355</v>
      </c>
      <c r="B367" s="26" t="s">
        <v>647</v>
      </c>
      <c r="C367" s="26"/>
      <c r="D367" s="26"/>
      <c r="E367" s="26" t="s">
        <v>648</v>
      </c>
    </row>
    <row r="369" spans="1:6">
      <c r="B369" s="25" t="s">
        <v>649</v>
      </c>
      <c r="C369" s="25"/>
      <c r="D369" s="25"/>
    </row>
    <row r="370" spans="1:6">
      <c r="B370" s="3" t="s">
        <v>322</v>
      </c>
      <c r="C370" s="3" t="s">
        <v>323</v>
      </c>
      <c r="D370" s="3" t="s">
        <v>319</v>
      </c>
      <c r="E370" s="3" t="s">
        <v>650</v>
      </c>
    </row>
    <row r="371" spans="1:6">
      <c r="A371" s="11" t="s">
        <v>212</v>
      </c>
      <c r="B371" s="29">
        <f>IF($B$121&gt;0,('Loads'!$B$294*B$342)/$B$121,0)</f>
        <v>0</v>
      </c>
      <c r="C371" s="29">
        <f>IF($B$121&gt;0,('Loads'!$B$294*C$342)/$B$121,0)</f>
        <v>0</v>
      </c>
      <c r="D371" s="29">
        <f>IF($B$121&gt;0,('Loads'!$B$294*D$342)/$B$121,0)</f>
        <v>0</v>
      </c>
      <c r="E371" s="6">
        <f>IF($C$317&gt;0,$B371*'Input'!$F$58*24/$C$317,0)</f>
        <v>0</v>
      </c>
      <c r="F371" s="10"/>
    </row>
    <row r="372" spans="1:6">
      <c r="A372" s="11" t="s">
        <v>213</v>
      </c>
      <c r="B372" s="29">
        <f>IF($B$122&gt;0,('Loads'!$B$295*B$343)/$B$122,0)</f>
        <v>0</v>
      </c>
      <c r="C372" s="29">
        <f>IF($B$122&gt;0,('Loads'!$B$295*C$343)/$B$122,0)</f>
        <v>0</v>
      </c>
      <c r="D372" s="29">
        <f>IF($B$122&gt;0,('Loads'!$B$295*D$343)/$B$122,0)</f>
        <v>0</v>
      </c>
      <c r="E372" s="6">
        <f>IF($C$317&gt;0,$B372*'Input'!$F$58*24/$C$317,0)</f>
        <v>0</v>
      </c>
      <c r="F372" s="10"/>
    </row>
    <row r="373" spans="1:6">
      <c r="A373" s="11" t="s">
        <v>214</v>
      </c>
      <c r="B373" s="29">
        <f>IF($B$123&gt;0,('Loads'!$B$296*B$344)/$B$123,0)</f>
        <v>0</v>
      </c>
      <c r="C373" s="29">
        <f>IF($B$123&gt;0,('Loads'!$B$296*C$344)/$B$123,0)</f>
        <v>0</v>
      </c>
      <c r="D373" s="29">
        <f>IF($B$123&gt;0,('Loads'!$B$296*D$344)/$B$123,0)</f>
        <v>0</v>
      </c>
      <c r="E373" s="6">
        <f>IF($C$317&gt;0,$B373*'Input'!$F$58*24/$C$317,0)</f>
        <v>0</v>
      </c>
      <c r="F373" s="10"/>
    </row>
    <row r="374" spans="1:6">
      <c r="A374" s="11" t="s">
        <v>215</v>
      </c>
      <c r="B374" s="29">
        <f>IF($B$124&gt;0,('Loads'!$B$297*B$345)/$B$124,0)</f>
        <v>0</v>
      </c>
      <c r="C374" s="29">
        <f>IF($B$124&gt;0,('Loads'!$B$297*C$345)/$B$124,0)</f>
        <v>0</v>
      </c>
      <c r="D374" s="29">
        <f>IF($B$124&gt;0,('Loads'!$B$297*D$345)/$B$124,0)</f>
        <v>0</v>
      </c>
      <c r="E374" s="6">
        <f>IF($C$317&gt;0,$B374*'Input'!$F$58*24/$C$317,0)</f>
        <v>0</v>
      </c>
      <c r="F374" s="10"/>
    </row>
    <row r="376" spans="1:6">
      <c r="A376" s="1" t="s">
        <v>651</v>
      </c>
    </row>
    <row r="377" spans="1:6">
      <c r="A377" s="2" t="s">
        <v>349</v>
      </c>
    </row>
    <row r="378" spans="1:6">
      <c r="A378" s="12" t="s">
        <v>572</v>
      </c>
    </row>
    <row r="379" spans="1:6">
      <c r="A379" s="12" t="s">
        <v>573</v>
      </c>
    </row>
    <row r="380" spans="1:6">
      <c r="A380" s="12" t="s">
        <v>643</v>
      </c>
    </row>
    <row r="381" spans="1:6">
      <c r="A381" s="12" t="s">
        <v>575</v>
      </c>
    </row>
    <row r="382" spans="1:6">
      <c r="A382" s="12" t="s">
        <v>652</v>
      </c>
    </row>
    <row r="383" spans="1:6">
      <c r="A383" s="12" t="s">
        <v>585</v>
      </c>
    </row>
    <row r="384" spans="1:6">
      <c r="A384" s="12" t="s">
        <v>653</v>
      </c>
    </row>
    <row r="385" spans="1:6">
      <c r="A385" s="12" t="s">
        <v>654</v>
      </c>
    </row>
    <row r="386" spans="1:6">
      <c r="A386" s="12" t="s">
        <v>655</v>
      </c>
    </row>
    <row r="387" spans="1:6">
      <c r="A387" s="12" t="s">
        <v>589</v>
      </c>
    </row>
    <row r="388" spans="1:6">
      <c r="A388" s="26" t="s">
        <v>352</v>
      </c>
      <c r="B388" s="26" t="s">
        <v>482</v>
      </c>
      <c r="C388" s="26"/>
      <c r="D388" s="26"/>
      <c r="E388" s="26" t="s">
        <v>482</v>
      </c>
    </row>
    <row r="389" spans="1:6">
      <c r="A389" s="26" t="s">
        <v>355</v>
      </c>
      <c r="B389" s="26" t="s">
        <v>590</v>
      </c>
      <c r="C389" s="26"/>
      <c r="D389" s="26"/>
      <c r="E389" s="26" t="s">
        <v>591</v>
      </c>
    </row>
    <row r="391" spans="1:6">
      <c r="B391" s="25" t="s">
        <v>656</v>
      </c>
      <c r="C391" s="25"/>
      <c r="D391" s="25"/>
    </row>
    <row r="392" spans="1:6">
      <c r="B392" s="3" t="s">
        <v>322</v>
      </c>
      <c r="C392" s="3" t="s">
        <v>323</v>
      </c>
      <c r="D392" s="3" t="s">
        <v>319</v>
      </c>
      <c r="E392" s="3" t="s">
        <v>657</v>
      </c>
    </row>
    <row r="393" spans="1:6">
      <c r="A393" s="11" t="s">
        <v>216</v>
      </c>
      <c r="B393" s="29">
        <f>IF($B$125&gt;0,('Loads'!$B$298*B$346+'Loads'!$C$298*B$351+'Loads'!$D$298*B$356)/$B$125,0)</f>
        <v>0</v>
      </c>
      <c r="C393" s="29">
        <f>IF($B$125&gt;0,('Loads'!$B$298*C$346+'Loads'!$C$298*C$351+'Loads'!$D$298*C$356)/$B$125,0)</f>
        <v>0</v>
      </c>
      <c r="D393" s="29">
        <f>IF($B$125&gt;0,('Loads'!$B$298*D$346+'Loads'!$C$298*D$351+'Loads'!$D$298*D$356)/$B$125,0)</f>
        <v>0</v>
      </c>
      <c r="E393" s="6">
        <f>IF($C$317&gt;0,$B393*'Input'!$F$58*24/$C$317,0)</f>
        <v>0</v>
      </c>
      <c r="F393" s="10"/>
    </row>
    <row r="395" spans="1:6">
      <c r="A395" s="1" t="s">
        <v>658</v>
      </c>
    </row>
    <row r="396" spans="1:6">
      <c r="A396" s="2" t="s">
        <v>349</v>
      </c>
    </row>
    <row r="397" spans="1:6">
      <c r="A397" s="12" t="s">
        <v>659</v>
      </c>
    </row>
    <row r="398" spans="1:6">
      <c r="A398" s="12" t="s">
        <v>660</v>
      </c>
    </row>
    <row r="399" spans="1:6">
      <c r="A399" s="12" t="s">
        <v>661</v>
      </c>
    </row>
    <row r="400" spans="1:6">
      <c r="A400" s="12" t="s">
        <v>662</v>
      </c>
    </row>
    <row r="401" spans="1:5">
      <c r="A401" s="12" t="s">
        <v>663</v>
      </c>
    </row>
    <row r="402" spans="1:5">
      <c r="A402" s="12" t="s">
        <v>664</v>
      </c>
    </row>
    <row r="403" spans="1:5">
      <c r="A403" s="26" t="s">
        <v>352</v>
      </c>
      <c r="B403" s="26" t="s">
        <v>516</v>
      </c>
      <c r="C403" s="26" t="s">
        <v>482</v>
      </c>
      <c r="D403" s="26" t="s">
        <v>482</v>
      </c>
    </row>
    <row r="404" spans="1:5">
      <c r="A404" s="26" t="s">
        <v>355</v>
      </c>
      <c r="B404" s="26" t="s">
        <v>599</v>
      </c>
      <c r="C404" s="26" t="s">
        <v>665</v>
      </c>
      <c r="D404" s="26" t="s">
        <v>666</v>
      </c>
    </row>
    <row r="406" spans="1:5">
      <c r="B406" s="3" t="s">
        <v>667</v>
      </c>
      <c r="C406" s="3" t="s">
        <v>668</v>
      </c>
      <c r="D406" s="3" t="s">
        <v>669</v>
      </c>
    </row>
    <row r="407" spans="1:5">
      <c r="A407" s="11" t="s">
        <v>212</v>
      </c>
      <c r="B407" s="7">
        <f>E$371</f>
        <v>0</v>
      </c>
      <c r="C407" s="17">
        <f>B407*$B$121/24/'Input'!$F$58*1000</f>
        <v>0</v>
      </c>
      <c r="D407" s="17">
        <f>'Loads'!B$56*B$121/24/'Input'!F$58*1000</f>
        <v>0</v>
      </c>
      <c r="E407" s="10"/>
    </row>
    <row r="408" spans="1:5">
      <c r="A408" s="11" t="s">
        <v>213</v>
      </c>
      <c r="B408" s="7">
        <f>E$372</f>
        <v>0</v>
      </c>
      <c r="C408" s="17">
        <f>B408*$B$122/24/'Input'!$F$58*1000</f>
        <v>0</v>
      </c>
      <c r="D408" s="17">
        <f>'Loads'!B$57*B$122/24/'Input'!F$58*1000</f>
        <v>0</v>
      </c>
      <c r="E408" s="10"/>
    </row>
    <row r="409" spans="1:5">
      <c r="A409" s="11" t="s">
        <v>214</v>
      </c>
      <c r="B409" s="7">
        <f>E$373</f>
        <v>0</v>
      </c>
      <c r="C409" s="17">
        <f>B409*$B$123/24/'Input'!$F$58*1000</f>
        <v>0</v>
      </c>
      <c r="D409" s="17">
        <f>'Loads'!B$58*B$123/24/'Input'!F$58*1000</f>
        <v>0</v>
      </c>
      <c r="E409" s="10"/>
    </row>
    <row r="410" spans="1:5">
      <c r="A410" s="11" t="s">
        <v>215</v>
      </c>
      <c r="B410" s="7">
        <f>E$374</f>
        <v>0</v>
      </c>
      <c r="C410" s="17">
        <f>B410*$B$124/24/'Input'!$F$58*1000</f>
        <v>0</v>
      </c>
      <c r="D410" s="17">
        <f>'Loads'!B$59*B$124/24/'Input'!F$58*1000</f>
        <v>0</v>
      </c>
      <c r="E410" s="10"/>
    </row>
    <row r="411" spans="1:5">
      <c r="A411" s="11" t="s">
        <v>216</v>
      </c>
      <c r="B411" s="7">
        <f>E$393</f>
        <v>0</v>
      </c>
      <c r="C411" s="17">
        <f>B411*$B$125/24/'Input'!$F$58*1000</f>
        <v>0</v>
      </c>
      <c r="D411" s="17">
        <f>'Loads'!B$60*B$125/24/'Input'!F$58*1000</f>
        <v>0</v>
      </c>
      <c r="E411" s="10"/>
    </row>
    <row r="413" spans="1:5">
      <c r="A413" s="1" t="s">
        <v>670</v>
      </c>
    </row>
    <row r="415" spans="1:5">
      <c r="B415" s="3" t="s">
        <v>671</v>
      </c>
    </row>
    <row r="416" spans="1:5">
      <c r="A416" s="11" t="s">
        <v>212</v>
      </c>
      <c r="B416" s="28">
        <v>1</v>
      </c>
      <c r="C416" s="10"/>
    </row>
    <row r="417" spans="1:3">
      <c r="A417" s="11" t="s">
        <v>213</v>
      </c>
      <c r="B417" s="28">
        <v>1</v>
      </c>
      <c r="C417" s="10"/>
    </row>
    <row r="418" spans="1:3">
      <c r="A418" s="11" t="s">
        <v>214</v>
      </c>
      <c r="B418" s="28">
        <v>1</v>
      </c>
      <c r="C418" s="10"/>
    </row>
    <row r="419" spans="1:3">
      <c r="A419" s="11" t="s">
        <v>215</v>
      </c>
      <c r="B419" s="28">
        <v>1</v>
      </c>
      <c r="C419" s="10"/>
    </row>
    <row r="420" spans="1:3">
      <c r="A420" s="11" t="s">
        <v>216</v>
      </c>
      <c r="B420" s="28">
        <v>1</v>
      </c>
      <c r="C420" s="10"/>
    </row>
    <row r="422" spans="1:3">
      <c r="A422" s="1" t="s">
        <v>672</v>
      </c>
    </row>
    <row r="423" spans="1:3">
      <c r="A423" s="2" t="s">
        <v>349</v>
      </c>
    </row>
    <row r="424" spans="1:3">
      <c r="A424" s="12" t="s">
        <v>673</v>
      </c>
    </row>
    <row r="425" spans="1:3">
      <c r="A425" s="12" t="s">
        <v>674</v>
      </c>
    </row>
    <row r="426" spans="1:3">
      <c r="A426" s="2" t="s">
        <v>362</v>
      </c>
    </row>
    <row r="428" spans="1:3">
      <c r="B428" s="3" t="s">
        <v>671</v>
      </c>
    </row>
    <row r="429" spans="1:3">
      <c r="A429" s="11" t="s">
        <v>322</v>
      </c>
      <c r="B429" s="17">
        <f>SUMPRODUCT(B$416:B$420,$C$407:$C$411)</f>
        <v>0</v>
      </c>
      <c r="C429" s="10"/>
    </row>
    <row r="431" spans="1:3">
      <c r="A431" s="1" t="s">
        <v>675</v>
      </c>
    </row>
    <row r="432" spans="1:3">
      <c r="A432" s="2" t="s">
        <v>349</v>
      </c>
    </row>
    <row r="433" spans="1:3">
      <c r="A433" s="12" t="s">
        <v>673</v>
      </c>
    </row>
    <row r="434" spans="1:3">
      <c r="A434" s="12" t="s">
        <v>676</v>
      </c>
    </row>
    <row r="435" spans="1:3">
      <c r="A435" s="2" t="s">
        <v>362</v>
      </c>
    </row>
    <row r="437" spans="1:3">
      <c r="B437" s="3" t="s">
        <v>671</v>
      </c>
    </row>
    <row r="438" spans="1:3">
      <c r="A438" s="11" t="s">
        <v>677</v>
      </c>
      <c r="B438" s="17">
        <f>SUMPRODUCT(B$416:B$420,$D$407:$D$411)</f>
        <v>0</v>
      </c>
      <c r="C438" s="10"/>
    </row>
    <row r="440" spans="1:3">
      <c r="A440" s="1" t="s">
        <v>678</v>
      </c>
    </row>
    <row r="441" spans="1:3">
      <c r="A441" s="2" t="s">
        <v>349</v>
      </c>
    </row>
    <row r="442" spans="1:3">
      <c r="A442" s="12" t="s">
        <v>679</v>
      </c>
    </row>
    <row r="443" spans="1:3">
      <c r="A443" s="12" t="s">
        <v>680</v>
      </c>
    </row>
    <row r="444" spans="1:3">
      <c r="A444" s="2" t="s">
        <v>681</v>
      </c>
    </row>
    <row r="446" spans="1:3">
      <c r="B446" s="3" t="s">
        <v>671</v>
      </c>
    </row>
    <row r="447" spans="1:3">
      <c r="A447" s="11" t="s">
        <v>682</v>
      </c>
      <c r="B447" s="6">
        <f>IF(B$429,B438/B$429,0)</f>
        <v>0</v>
      </c>
      <c r="C447" s="10"/>
    </row>
    <row r="449" spans="1:3">
      <c r="A449" s="1" t="s">
        <v>683</v>
      </c>
    </row>
    <row r="450" spans="1:3">
      <c r="A450" s="2" t="s">
        <v>349</v>
      </c>
    </row>
    <row r="451" spans="1:3">
      <c r="A451" s="12" t="s">
        <v>673</v>
      </c>
    </row>
    <row r="452" spans="1:3">
      <c r="A452" s="12" t="s">
        <v>684</v>
      </c>
    </row>
    <row r="453" spans="1:3">
      <c r="A453" s="2" t="s">
        <v>362</v>
      </c>
    </row>
    <row r="455" spans="1:3">
      <c r="B455" s="3" t="s">
        <v>685</v>
      </c>
    </row>
    <row r="456" spans="1:3">
      <c r="A456" s="11" t="s">
        <v>212</v>
      </c>
      <c r="B456" s="6">
        <f>$B416*$B$447</f>
        <v>0</v>
      </c>
      <c r="C456" s="10"/>
    </row>
    <row r="457" spans="1:3">
      <c r="A457" s="11" t="s">
        <v>213</v>
      </c>
      <c r="B457" s="6">
        <f>$B417*$B$447</f>
        <v>0</v>
      </c>
      <c r="C457" s="10"/>
    </row>
    <row r="458" spans="1:3">
      <c r="A458" s="11" t="s">
        <v>214</v>
      </c>
      <c r="B458" s="6">
        <f>$B418*$B$447</f>
        <v>0</v>
      </c>
      <c r="C458" s="10"/>
    </row>
    <row r="459" spans="1:3">
      <c r="A459" s="11" t="s">
        <v>215</v>
      </c>
      <c r="B459" s="6">
        <f>$B419*$B$447</f>
        <v>0</v>
      </c>
      <c r="C459" s="10"/>
    </row>
    <row r="460" spans="1:3">
      <c r="A460" s="11" t="s">
        <v>216</v>
      </c>
      <c r="B460" s="6">
        <f>$B420*$B$447</f>
        <v>0</v>
      </c>
      <c r="C460" s="10"/>
    </row>
    <row r="462" spans="1:3">
      <c r="A462" s="1" t="s">
        <v>686</v>
      </c>
    </row>
    <row r="463" spans="1:3">
      <c r="A463" s="2" t="s">
        <v>349</v>
      </c>
    </row>
    <row r="464" spans="1:3">
      <c r="A464" s="12" t="s">
        <v>612</v>
      </c>
    </row>
    <row r="465" spans="1:8">
      <c r="A465" s="12" t="s">
        <v>687</v>
      </c>
    </row>
    <row r="466" spans="1:8">
      <c r="A466" s="12" t="s">
        <v>402</v>
      </c>
    </row>
    <row r="467" spans="1:8">
      <c r="A467" s="12" t="s">
        <v>688</v>
      </c>
    </row>
    <row r="468" spans="1:8">
      <c r="A468" s="12" t="s">
        <v>689</v>
      </c>
    </row>
    <row r="469" spans="1:8">
      <c r="A469" s="12" t="s">
        <v>690</v>
      </c>
    </row>
    <row r="470" spans="1:8">
      <c r="A470" s="12" t="s">
        <v>691</v>
      </c>
    </row>
    <row r="471" spans="1:8">
      <c r="A471" s="12" t="s">
        <v>654</v>
      </c>
    </row>
    <row r="472" spans="1:8">
      <c r="A472" s="12" t="s">
        <v>692</v>
      </c>
    </row>
    <row r="473" spans="1:8">
      <c r="A473" s="12" t="s">
        <v>693</v>
      </c>
    </row>
    <row r="474" spans="1:8">
      <c r="A474" s="26" t="s">
        <v>352</v>
      </c>
      <c r="B474" s="26" t="s">
        <v>411</v>
      </c>
      <c r="C474" s="26" t="s">
        <v>411</v>
      </c>
      <c r="D474" s="26" t="s">
        <v>411</v>
      </c>
      <c r="E474" s="26" t="s">
        <v>482</v>
      </c>
      <c r="F474" s="26" t="s">
        <v>482</v>
      </c>
      <c r="G474" s="26" t="s">
        <v>482</v>
      </c>
    </row>
    <row r="475" spans="1:8">
      <c r="A475" s="26" t="s">
        <v>355</v>
      </c>
      <c r="B475" s="26" t="s">
        <v>413</v>
      </c>
      <c r="C475" s="26" t="s">
        <v>413</v>
      </c>
      <c r="D475" s="26" t="s">
        <v>413</v>
      </c>
      <c r="E475" s="26" t="s">
        <v>694</v>
      </c>
      <c r="F475" s="26" t="s">
        <v>695</v>
      </c>
      <c r="G475" s="26" t="s">
        <v>696</v>
      </c>
    </row>
    <row r="477" spans="1:8">
      <c r="B477" s="3" t="s">
        <v>697</v>
      </c>
      <c r="C477" s="3" t="s">
        <v>698</v>
      </c>
      <c r="D477" s="3" t="s">
        <v>699</v>
      </c>
      <c r="E477" s="3" t="s">
        <v>700</v>
      </c>
      <c r="F477" s="3" t="s">
        <v>701</v>
      </c>
      <c r="G477" s="3" t="s">
        <v>332</v>
      </c>
    </row>
    <row r="478" spans="1:8">
      <c r="A478" s="11" t="s">
        <v>140</v>
      </c>
      <c r="B478" s="31">
        <f>$C212</f>
        <v>0</v>
      </c>
      <c r="C478" s="31">
        <f>$D212</f>
        <v>0</v>
      </c>
      <c r="D478" s="31">
        <f>$E212</f>
        <v>0</v>
      </c>
      <c r="E478" s="6">
        <f>C478*24*'Input'!$F$58/$D$13</f>
        <v>0</v>
      </c>
      <c r="F478" s="29">
        <f>IF('Input'!$E341,$C478+$B478-'Input'!$E341,$E478*$D$317/'Input'!$F$58/24)</f>
        <v>0</v>
      </c>
      <c r="G478" s="29">
        <f>1-$F478-$D478</f>
        <v>0</v>
      </c>
      <c r="H478" s="10"/>
    </row>
    <row r="479" spans="1:8">
      <c r="A479" s="11" t="s">
        <v>141</v>
      </c>
      <c r="B479" s="31">
        <f>$C213</f>
        <v>0</v>
      </c>
      <c r="C479" s="31">
        <f>$D213</f>
        <v>0</v>
      </c>
      <c r="D479" s="31">
        <f>$E213</f>
        <v>0</v>
      </c>
      <c r="E479" s="6">
        <f>C479*24*'Input'!$F$58/$D$13</f>
        <v>0</v>
      </c>
      <c r="F479" s="29">
        <f>IF('Input'!$E342,$C479+$B479-'Input'!$E342,$E479*$D$317/'Input'!$F$58/24)</f>
        <v>0</v>
      </c>
      <c r="G479" s="29">
        <f>1-$F479-$D479</f>
        <v>0</v>
      </c>
      <c r="H479" s="10"/>
    </row>
    <row r="480" spans="1:8">
      <c r="A480" s="11" t="s">
        <v>142</v>
      </c>
      <c r="B480" s="31">
        <f>$C214</f>
        <v>0</v>
      </c>
      <c r="C480" s="31">
        <f>$D214</f>
        <v>0</v>
      </c>
      <c r="D480" s="31">
        <f>$E214</f>
        <v>0</v>
      </c>
      <c r="E480" s="6">
        <f>C480*24*'Input'!$F$58/$D$13</f>
        <v>0</v>
      </c>
      <c r="F480" s="29">
        <f>IF('Input'!$E343,$C480+$B480-'Input'!$E343,$E480*$D$317/'Input'!$F$58/24)</f>
        <v>0</v>
      </c>
      <c r="G480" s="29">
        <f>1-$F480-$D480</f>
        <v>0</v>
      </c>
      <c r="H480" s="10"/>
    </row>
    <row r="481" spans="1:8">
      <c r="A481" s="11" t="s">
        <v>143</v>
      </c>
      <c r="B481" s="31">
        <f>$C215</f>
        <v>0</v>
      </c>
      <c r="C481" s="31">
        <f>$D215</f>
        <v>0</v>
      </c>
      <c r="D481" s="31">
        <f>$E215</f>
        <v>0</v>
      </c>
      <c r="E481" s="6">
        <f>C481*24*'Input'!$F$58/$D$13</f>
        <v>0</v>
      </c>
      <c r="F481" s="29">
        <f>IF('Input'!$E344,$C481+$B481-'Input'!$E344,$E481*$D$317/'Input'!$F$58/24)</f>
        <v>0</v>
      </c>
      <c r="G481" s="29">
        <f>1-$F481-$D481</f>
        <v>0</v>
      </c>
      <c r="H481" s="10"/>
    </row>
    <row r="482" spans="1:8">
      <c r="A482" s="11" t="s">
        <v>144</v>
      </c>
      <c r="B482" s="31">
        <f>$C216</f>
        <v>0</v>
      </c>
      <c r="C482" s="31">
        <f>$D216</f>
        <v>0</v>
      </c>
      <c r="D482" s="31">
        <f>$E216</f>
        <v>0</v>
      </c>
      <c r="E482" s="6">
        <f>C482*24*'Input'!$F$58/$D$13</f>
        <v>0</v>
      </c>
      <c r="F482" s="29">
        <f>IF('Input'!$E345,$C482+$B482-'Input'!$E345,$E482*$D$317/'Input'!$F$58/24)</f>
        <v>0</v>
      </c>
      <c r="G482" s="29">
        <f>1-$F482-$D482</f>
        <v>0</v>
      </c>
      <c r="H482" s="10"/>
    </row>
    <row r="483" spans="1:8">
      <c r="A483" s="11" t="s">
        <v>149</v>
      </c>
      <c r="B483" s="31">
        <f>$C217</f>
        <v>0</v>
      </c>
      <c r="C483" s="31">
        <f>$D217</f>
        <v>0</v>
      </c>
      <c r="D483" s="31">
        <f>$E217</f>
        <v>0</v>
      </c>
      <c r="E483" s="6">
        <f>C483*24*'Input'!$F$58/$D$13</f>
        <v>0</v>
      </c>
      <c r="F483" s="29">
        <f>IF('Input'!$E346,$C483+$B483-'Input'!$E346,$E483*$D$317/'Input'!$F$58/24)</f>
        <v>0</v>
      </c>
      <c r="G483" s="29">
        <f>1-$F483-$D483</f>
        <v>0</v>
      </c>
      <c r="H483" s="10"/>
    </row>
    <row r="484" spans="1:8">
      <c r="A484" s="11" t="s">
        <v>145</v>
      </c>
      <c r="B484" s="31">
        <f>$C218</f>
        <v>0</v>
      </c>
      <c r="C484" s="31">
        <f>$D218</f>
        <v>0</v>
      </c>
      <c r="D484" s="31">
        <f>$E218</f>
        <v>0</v>
      </c>
      <c r="E484" s="6">
        <f>C484*24*'Input'!$F$58/$D$13</f>
        <v>0</v>
      </c>
      <c r="F484" s="29">
        <f>IF('Input'!$E347,$C484+$B484-'Input'!$E347,$E484*$D$317/'Input'!$F$58/24)</f>
        <v>0</v>
      </c>
      <c r="G484" s="29">
        <f>1-$F484-$D484</f>
        <v>0</v>
      </c>
      <c r="H484" s="10"/>
    </row>
    <row r="485" spans="1:8">
      <c r="A485" s="11" t="s">
        <v>146</v>
      </c>
      <c r="B485" s="31">
        <f>$C219</f>
        <v>0</v>
      </c>
      <c r="C485" s="31">
        <f>$D219</f>
        <v>0</v>
      </c>
      <c r="D485" s="31">
        <f>$E219</f>
        <v>0</v>
      </c>
      <c r="E485" s="6">
        <f>C485*24*'Input'!$F$58/$D$13</f>
        <v>0</v>
      </c>
      <c r="F485" s="29">
        <f>IF('Input'!$E348,$C485+$B485-'Input'!$E348,$E485*$D$317/'Input'!$F$58/24)</f>
        <v>0</v>
      </c>
      <c r="G485" s="29">
        <f>1-$F485-$D485</f>
        <v>0</v>
      </c>
      <c r="H485" s="10"/>
    </row>
    <row r="486" spans="1:8">
      <c r="A486" s="11" t="s">
        <v>147</v>
      </c>
      <c r="B486" s="31">
        <f>$C220</f>
        <v>0</v>
      </c>
      <c r="C486" s="31">
        <f>$D220</f>
        <v>0</v>
      </c>
      <c r="D486" s="31">
        <f>$E220</f>
        <v>0</v>
      </c>
      <c r="E486" s="6">
        <f>C486*24*'Input'!$F$58/$D$13</f>
        <v>0</v>
      </c>
      <c r="F486" s="29">
        <f>IF('Input'!$E349,$C486+$B486-'Input'!$E349,$E486*$D$317/'Input'!$F$58/24)</f>
        <v>0</v>
      </c>
      <c r="G486" s="29">
        <f>1-$F486-$D486</f>
        <v>0</v>
      </c>
      <c r="H486" s="10"/>
    </row>
    <row r="488" spans="1:8">
      <c r="A488" s="1" t="s">
        <v>702</v>
      </c>
    </row>
    <row r="489" spans="1:8">
      <c r="A489" s="2" t="s">
        <v>349</v>
      </c>
    </row>
    <row r="490" spans="1:8">
      <c r="A490" s="12" t="s">
        <v>703</v>
      </c>
    </row>
    <row r="491" spans="1:8">
      <c r="A491" s="12" t="s">
        <v>704</v>
      </c>
    </row>
    <row r="492" spans="1:8">
      <c r="A492" s="12" t="s">
        <v>705</v>
      </c>
    </row>
    <row r="493" spans="1:8">
      <c r="A493" s="2" t="s">
        <v>392</v>
      </c>
    </row>
    <row r="495" spans="1:8">
      <c r="B495" s="3" t="s">
        <v>322</v>
      </c>
      <c r="C495" s="3" t="s">
        <v>323</v>
      </c>
      <c r="D495" s="3" t="s">
        <v>319</v>
      </c>
    </row>
    <row r="496" spans="1:8">
      <c r="A496" s="11" t="s">
        <v>140</v>
      </c>
      <c r="B496" s="31">
        <f>$G$478</f>
        <v>0</v>
      </c>
      <c r="C496" s="31">
        <f>$F$478</f>
        <v>0</v>
      </c>
      <c r="D496" s="31">
        <f>$D$478</f>
        <v>0</v>
      </c>
      <c r="E496" s="10"/>
    </row>
    <row r="497" spans="1:38">
      <c r="A497" s="11" t="s">
        <v>141</v>
      </c>
      <c r="B497" s="31">
        <f>$G$479</f>
        <v>0</v>
      </c>
      <c r="C497" s="31">
        <f>$F$479</f>
        <v>0</v>
      </c>
      <c r="D497" s="31">
        <f>$D$479</f>
        <v>0</v>
      </c>
      <c r="E497" s="10"/>
    </row>
    <row r="498" spans="1:38">
      <c r="A498" s="11" t="s">
        <v>142</v>
      </c>
      <c r="B498" s="31">
        <f>$G$480</f>
        <v>0</v>
      </c>
      <c r="C498" s="31">
        <f>$F$480</f>
        <v>0</v>
      </c>
      <c r="D498" s="31">
        <f>$D$480</f>
        <v>0</v>
      </c>
      <c r="E498" s="10"/>
    </row>
    <row r="499" spans="1:38">
      <c r="A499" s="11" t="s">
        <v>143</v>
      </c>
      <c r="B499" s="31">
        <f>$G$481</f>
        <v>0</v>
      </c>
      <c r="C499" s="31">
        <f>$F$481</f>
        <v>0</v>
      </c>
      <c r="D499" s="31">
        <f>$D$481</f>
        <v>0</v>
      </c>
      <c r="E499" s="10"/>
    </row>
    <row r="500" spans="1:38">
      <c r="A500" s="11" t="s">
        <v>144</v>
      </c>
      <c r="B500" s="31">
        <f>$G$482</f>
        <v>0</v>
      </c>
      <c r="C500" s="31">
        <f>$F$482</f>
        <v>0</v>
      </c>
      <c r="D500" s="31">
        <f>$D$482</f>
        <v>0</v>
      </c>
      <c r="E500" s="10"/>
    </row>
    <row r="501" spans="1:38">
      <c r="A501" s="11" t="s">
        <v>149</v>
      </c>
      <c r="B501" s="31">
        <f>$G$483</f>
        <v>0</v>
      </c>
      <c r="C501" s="31">
        <f>$F$483</f>
        <v>0</v>
      </c>
      <c r="D501" s="31">
        <f>$D$483</f>
        <v>0</v>
      </c>
      <c r="E501" s="10"/>
    </row>
    <row r="502" spans="1:38">
      <c r="A502" s="11" t="s">
        <v>145</v>
      </c>
      <c r="B502" s="31">
        <f>$G$484</f>
        <v>0</v>
      </c>
      <c r="C502" s="31">
        <f>$F$484</f>
        <v>0</v>
      </c>
      <c r="D502" s="31">
        <f>$D$484</f>
        <v>0</v>
      </c>
      <c r="E502" s="10"/>
    </row>
    <row r="503" spans="1:38">
      <c r="A503" s="11" t="s">
        <v>146</v>
      </c>
      <c r="B503" s="31">
        <f>$G$485</f>
        <v>0</v>
      </c>
      <c r="C503" s="31">
        <f>$F$485</f>
        <v>0</v>
      </c>
      <c r="D503" s="31">
        <f>$D$485</f>
        <v>0</v>
      </c>
      <c r="E503" s="10"/>
    </row>
    <row r="504" spans="1:38">
      <c r="A504" s="11" t="s">
        <v>147</v>
      </c>
      <c r="B504" s="31">
        <f>$G$486</f>
        <v>0</v>
      </c>
      <c r="C504" s="31">
        <f>$F$486</f>
        <v>0</v>
      </c>
      <c r="D504" s="31">
        <f>$D$486</f>
        <v>0</v>
      </c>
      <c r="E504" s="10"/>
    </row>
    <row r="506" spans="1:38">
      <c r="A506" s="1" t="s">
        <v>706</v>
      </c>
    </row>
    <row r="507" spans="1:38">
      <c r="A507" s="2" t="s">
        <v>349</v>
      </c>
    </row>
    <row r="508" spans="1:38">
      <c r="A508" s="12" t="s">
        <v>707</v>
      </c>
    </row>
    <row r="509" spans="1:38">
      <c r="A509" s="2" t="s">
        <v>613</v>
      </c>
    </row>
    <row r="511" spans="1:38">
      <c r="B511" s="22" t="s">
        <v>140</v>
      </c>
      <c r="C511" s="3" t="s">
        <v>322</v>
      </c>
      <c r="D511" s="3" t="s">
        <v>323</v>
      </c>
      <c r="E511" s="3" t="s">
        <v>319</v>
      </c>
      <c r="F511" s="22" t="s">
        <v>141</v>
      </c>
      <c r="G511" s="3" t="s">
        <v>322</v>
      </c>
      <c r="H511" s="3" t="s">
        <v>323</v>
      </c>
      <c r="I511" s="3" t="s">
        <v>319</v>
      </c>
      <c r="J511" s="22" t="s">
        <v>142</v>
      </c>
      <c r="K511" s="3" t="s">
        <v>322</v>
      </c>
      <c r="L511" s="3" t="s">
        <v>323</v>
      </c>
      <c r="M511" s="3" t="s">
        <v>319</v>
      </c>
      <c r="N511" s="22" t="s">
        <v>143</v>
      </c>
      <c r="O511" s="3" t="s">
        <v>322</v>
      </c>
      <c r="P511" s="3" t="s">
        <v>323</v>
      </c>
      <c r="Q511" s="3" t="s">
        <v>319</v>
      </c>
      <c r="R511" s="22" t="s">
        <v>144</v>
      </c>
      <c r="S511" s="3" t="s">
        <v>322</v>
      </c>
      <c r="T511" s="3" t="s">
        <v>323</v>
      </c>
      <c r="U511" s="3" t="s">
        <v>319</v>
      </c>
      <c r="V511" s="22" t="s">
        <v>149</v>
      </c>
      <c r="W511" s="3" t="s">
        <v>322</v>
      </c>
      <c r="X511" s="3" t="s">
        <v>323</v>
      </c>
      <c r="Y511" s="3" t="s">
        <v>319</v>
      </c>
      <c r="Z511" s="22" t="s">
        <v>145</v>
      </c>
      <c r="AA511" s="3" t="s">
        <v>322</v>
      </c>
      <c r="AB511" s="3" t="s">
        <v>323</v>
      </c>
      <c r="AC511" s="3" t="s">
        <v>319</v>
      </c>
      <c r="AD511" s="22" t="s">
        <v>146</v>
      </c>
      <c r="AE511" s="3" t="s">
        <v>322</v>
      </c>
      <c r="AF511" s="3" t="s">
        <v>323</v>
      </c>
      <c r="AG511" s="3" t="s">
        <v>319</v>
      </c>
      <c r="AH511" s="22" t="s">
        <v>147</v>
      </c>
      <c r="AI511" s="3" t="s">
        <v>322</v>
      </c>
      <c r="AJ511" s="3" t="s">
        <v>323</v>
      </c>
      <c r="AK511" s="3" t="s">
        <v>319</v>
      </c>
    </row>
    <row r="512" spans="1:38">
      <c r="A512" s="11" t="s">
        <v>614</v>
      </c>
      <c r="C512" s="31">
        <f>B$496</f>
        <v>0</v>
      </c>
      <c r="D512" s="31">
        <f>C$496</f>
        <v>0</v>
      </c>
      <c r="E512" s="31">
        <f>D$496</f>
        <v>0</v>
      </c>
      <c r="G512" s="31">
        <f>B$497</f>
        <v>0</v>
      </c>
      <c r="H512" s="31">
        <f>C$497</f>
        <v>0</v>
      </c>
      <c r="I512" s="31">
        <f>D$497</f>
        <v>0</v>
      </c>
      <c r="K512" s="31">
        <f>B$498</f>
        <v>0</v>
      </c>
      <c r="L512" s="31">
        <f>C$498</f>
        <v>0</v>
      </c>
      <c r="M512" s="31">
        <f>D$498</f>
        <v>0</v>
      </c>
      <c r="O512" s="31">
        <f>B$499</f>
        <v>0</v>
      </c>
      <c r="P512" s="31">
        <f>C$499</f>
        <v>0</v>
      </c>
      <c r="Q512" s="31">
        <f>D$499</f>
        <v>0</v>
      </c>
      <c r="S512" s="31">
        <f>B$500</f>
        <v>0</v>
      </c>
      <c r="T512" s="31">
        <f>C$500</f>
        <v>0</v>
      </c>
      <c r="U512" s="31">
        <f>D$500</f>
        <v>0</v>
      </c>
      <c r="W512" s="31">
        <f>B$501</f>
        <v>0</v>
      </c>
      <c r="X512" s="31">
        <f>C$501</f>
        <v>0</v>
      </c>
      <c r="Y512" s="31">
        <f>D$501</f>
        <v>0</v>
      </c>
      <c r="AA512" s="31">
        <f>B$502</f>
        <v>0</v>
      </c>
      <c r="AB512" s="31">
        <f>C$502</f>
        <v>0</v>
      </c>
      <c r="AC512" s="31">
        <f>D$502</f>
        <v>0</v>
      </c>
      <c r="AE512" s="31">
        <f>B$503</f>
        <v>0</v>
      </c>
      <c r="AF512" s="31">
        <f>C$503</f>
        <v>0</v>
      </c>
      <c r="AG512" s="31">
        <f>D$503</f>
        <v>0</v>
      </c>
      <c r="AI512" s="31">
        <f>B$504</f>
        <v>0</v>
      </c>
      <c r="AJ512" s="31">
        <f>C$504</f>
        <v>0</v>
      </c>
      <c r="AK512" s="31">
        <f>D$504</f>
        <v>0</v>
      </c>
      <c r="AL512" s="10"/>
    </row>
    <row r="514" spans="1:38">
      <c r="A514" s="1" t="s">
        <v>708</v>
      </c>
    </row>
    <row r="515" spans="1:38">
      <c r="A515" s="2" t="s">
        <v>349</v>
      </c>
    </row>
    <row r="516" spans="1:38">
      <c r="A516" s="12" t="s">
        <v>709</v>
      </c>
    </row>
    <row r="517" spans="1:38">
      <c r="A517" s="12" t="s">
        <v>710</v>
      </c>
    </row>
    <row r="518" spans="1:38">
      <c r="A518" s="12" t="s">
        <v>711</v>
      </c>
    </row>
    <row r="519" spans="1:38">
      <c r="A519" s="12" t="s">
        <v>550</v>
      </c>
    </row>
    <row r="520" spans="1:38">
      <c r="A520" s="2" t="s">
        <v>619</v>
      </c>
    </row>
    <row r="522" spans="1:38">
      <c r="B522" s="22" t="s">
        <v>140</v>
      </c>
      <c r="C522" s="3" t="s">
        <v>322</v>
      </c>
      <c r="D522" s="3" t="s">
        <v>323</v>
      </c>
      <c r="E522" s="3" t="s">
        <v>319</v>
      </c>
      <c r="F522" s="22" t="s">
        <v>141</v>
      </c>
      <c r="G522" s="3" t="s">
        <v>322</v>
      </c>
      <c r="H522" s="3" t="s">
        <v>323</v>
      </c>
      <c r="I522" s="3" t="s">
        <v>319</v>
      </c>
      <c r="J522" s="22" t="s">
        <v>142</v>
      </c>
      <c r="K522" s="3" t="s">
        <v>322</v>
      </c>
      <c r="L522" s="3" t="s">
        <v>323</v>
      </c>
      <c r="M522" s="3" t="s">
        <v>319</v>
      </c>
      <c r="N522" s="22" t="s">
        <v>143</v>
      </c>
      <c r="O522" s="3" t="s">
        <v>322</v>
      </c>
      <c r="P522" s="3" t="s">
        <v>323</v>
      </c>
      <c r="Q522" s="3" t="s">
        <v>319</v>
      </c>
      <c r="R522" s="22" t="s">
        <v>144</v>
      </c>
      <c r="S522" s="3" t="s">
        <v>322</v>
      </c>
      <c r="T522" s="3" t="s">
        <v>323</v>
      </c>
      <c r="U522" s="3" t="s">
        <v>319</v>
      </c>
      <c r="V522" s="22" t="s">
        <v>149</v>
      </c>
      <c r="W522" s="3" t="s">
        <v>322</v>
      </c>
      <c r="X522" s="3" t="s">
        <v>323</v>
      </c>
      <c r="Y522" s="3" t="s">
        <v>319</v>
      </c>
      <c r="Z522" s="22" t="s">
        <v>145</v>
      </c>
      <c r="AA522" s="3" t="s">
        <v>322</v>
      </c>
      <c r="AB522" s="3" t="s">
        <v>323</v>
      </c>
      <c r="AC522" s="3" t="s">
        <v>319</v>
      </c>
      <c r="AD522" s="22" t="s">
        <v>146</v>
      </c>
      <c r="AE522" s="3" t="s">
        <v>322</v>
      </c>
      <c r="AF522" s="3" t="s">
        <v>323</v>
      </c>
      <c r="AG522" s="3" t="s">
        <v>319</v>
      </c>
      <c r="AH522" s="22" t="s">
        <v>147</v>
      </c>
      <c r="AI522" s="3" t="s">
        <v>322</v>
      </c>
      <c r="AJ522" s="3" t="s">
        <v>323</v>
      </c>
      <c r="AK522" s="3" t="s">
        <v>319</v>
      </c>
    </row>
    <row r="523" spans="1:38">
      <c r="A523" s="11" t="s">
        <v>212</v>
      </c>
      <c r="C523" s="6">
        <f>IF(C$317&gt;0,$B456*C$512*24*'Input'!$F$58/C$317,0)</f>
        <v>0</v>
      </c>
      <c r="D523" s="6">
        <f>IF(D$317&gt;0,$B456*D$512*24*'Input'!$F$58/D$317,0)</f>
        <v>0</v>
      </c>
      <c r="E523" s="6">
        <f>IF(E$317&gt;0,$B456*E$512*24*'Input'!$F$58/E$317,0)</f>
        <v>0</v>
      </c>
      <c r="G523" s="6">
        <f>IF(C$317&gt;0,$B456*G$512*24*'Input'!$F$58/C$317,0)</f>
        <v>0</v>
      </c>
      <c r="H523" s="6">
        <f>IF(D$317&gt;0,$B456*H$512*24*'Input'!$F$58/D$317,0)</f>
        <v>0</v>
      </c>
      <c r="I523" s="6">
        <f>IF(E$317&gt;0,$B456*I$512*24*'Input'!$F$58/E$317,0)</f>
        <v>0</v>
      </c>
      <c r="K523" s="6">
        <f>IF(C$317&gt;0,$B456*K$512*24*'Input'!$F$58/C$317,0)</f>
        <v>0</v>
      </c>
      <c r="L523" s="6">
        <f>IF(D$317&gt;0,$B456*L$512*24*'Input'!$F$58/D$317,0)</f>
        <v>0</v>
      </c>
      <c r="M523" s="6">
        <f>IF(E$317&gt;0,$B456*M$512*24*'Input'!$F$58/E$317,0)</f>
        <v>0</v>
      </c>
      <c r="O523" s="6">
        <f>IF(C$317&gt;0,$B456*O$512*24*'Input'!$F$58/C$317,0)</f>
        <v>0</v>
      </c>
      <c r="P523" s="6">
        <f>IF(D$317&gt;0,$B456*P$512*24*'Input'!$F$58/D$317,0)</f>
        <v>0</v>
      </c>
      <c r="Q523" s="6">
        <f>IF(E$317&gt;0,$B456*Q$512*24*'Input'!$F$58/E$317,0)</f>
        <v>0</v>
      </c>
      <c r="S523" s="6">
        <f>IF(C$317&gt;0,$B456*S$512*24*'Input'!$F$58/C$317,0)</f>
        <v>0</v>
      </c>
      <c r="T523" s="6">
        <f>IF(D$317&gt;0,$B456*T$512*24*'Input'!$F$58/D$317,0)</f>
        <v>0</v>
      </c>
      <c r="U523" s="6">
        <f>IF(E$317&gt;0,$B456*U$512*24*'Input'!$F$58/E$317,0)</f>
        <v>0</v>
      </c>
      <c r="W523" s="6">
        <f>IF(C$317&gt;0,$B456*W$512*24*'Input'!$F$58/C$317,0)</f>
        <v>0</v>
      </c>
      <c r="X523" s="6">
        <f>IF(D$317&gt;0,$B456*X$512*24*'Input'!$F$58/D$317,0)</f>
        <v>0</v>
      </c>
      <c r="Y523" s="6">
        <f>IF(E$317&gt;0,$B456*Y$512*24*'Input'!$F$58/E$317,0)</f>
        <v>0</v>
      </c>
      <c r="AA523" s="6">
        <f>IF(C$317&gt;0,$B456*AA$512*24*'Input'!$F$58/C$317,0)</f>
        <v>0</v>
      </c>
      <c r="AB523" s="6">
        <f>IF(D$317&gt;0,$B456*AB$512*24*'Input'!$F$58/D$317,0)</f>
        <v>0</v>
      </c>
      <c r="AC523" s="6">
        <f>IF(E$317&gt;0,$B456*AC$512*24*'Input'!$F$58/E$317,0)</f>
        <v>0</v>
      </c>
      <c r="AE523" s="6">
        <f>IF(C$317&gt;0,$B456*AE$512*24*'Input'!$F$58/C$317,0)</f>
        <v>0</v>
      </c>
      <c r="AF523" s="6">
        <f>IF(D$317&gt;0,$B456*AF$512*24*'Input'!$F$58/D$317,0)</f>
        <v>0</v>
      </c>
      <c r="AG523" s="6">
        <f>IF(E$317&gt;0,$B456*AG$512*24*'Input'!$F$58/E$317,0)</f>
        <v>0</v>
      </c>
      <c r="AI523" s="6">
        <f>IF(C$317&gt;0,$B456*AI$512*24*'Input'!$F$58/C$317,0)</f>
        <v>0</v>
      </c>
      <c r="AJ523" s="6">
        <f>IF(D$317&gt;0,$B456*AJ$512*24*'Input'!$F$58/D$317,0)</f>
        <v>0</v>
      </c>
      <c r="AK523" s="6">
        <f>IF(E$317&gt;0,$B456*AK$512*24*'Input'!$F$58/E$317,0)</f>
        <v>0</v>
      </c>
      <c r="AL523" s="10"/>
    </row>
    <row r="524" spans="1:38">
      <c r="A524" s="11" t="s">
        <v>213</v>
      </c>
      <c r="C524" s="6">
        <f>IF(C$317&gt;0,$B457*C$512*24*'Input'!$F$58/C$317,0)</f>
        <v>0</v>
      </c>
      <c r="D524" s="6">
        <f>IF(D$317&gt;0,$B457*D$512*24*'Input'!$F$58/D$317,0)</f>
        <v>0</v>
      </c>
      <c r="E524" s="6">
        <f>IF(E$317&gt;0,$B457*E$512*24*'Input'!$F$58/E$317,0)</f>
        <v>0</v>
      </c>
      <c r="G524" s="6">
        <f>IF(C$317&gt;0,$B457*G$512*24*'Input'!$F$58/C$317,0)</f>
        <v>0</v>
      </c>
      <c r="H524" s="6">
        <f>IF(D$317&gt;0,$B457*H$512*24*'Input'!$F$58/D$317,0)</f>
        <v>0</v>
      </c>
      <c r="I524" s="6">
        <f>IF(E$317&gt;0,$B457*I$512*24*'Input'!$F$58/E$317,0)</f>
        <v>0</v>
      </c>
      <c r="K524" s="6">
        <f>IF(C$317&gt;0,$B457*K$512*24*'Input'!$F$58/C$317,0)</f>
        <v>0</v>
      </c>
      <c r="L524" s="6">
        <f>IF(D$317&gt;0,$B457*L$512*24*'Input'!$F$58/D$317,0)</f>
        <v>0</v>
      </c>
      <c r="M524" s="6">
        <f>IF(E$317&gt;0,$B457*M$512*24*'Input'!$F$58/E$317,0)</f>
        <v>0</v>
      </c>
      <c r="O524" s="6">
        <f>IF(C$317&gt;0,$B457*O$512*24*'Input'!$F$58/C$317,0)</f>
        <v>0</v>
      </c>
      <c r="P524" s="6">
        <f>IF(D$317&gt;0,$B457*P$512*24*'Input'!$F$58/D$317,0)</f>
        <v>0</v>
      </c>
      <c r="Q524" s="6">
        <f>IF(E$317&gt;0,$B457*Q$512*24*'Input'!$F$58/E$317,0)</f>
        <v>0</v>
      </c>
      <c r="S524" s="6">
        <f>IF(C$317&gt;0,$B457*S$512*24*'Input'!$F$58/C$317,0)</f>
        <v>0</v>
      </c>
      <c r="T524" s="6">
        <f>IF(D$317&gt;0,$B457*T$512*24*'Input'!$F$58/D$317,0)</f>
        <v>0</v>
      </c>
      <c r="U524" s="6">
        <f>IF(E$317&gt;0,$B457*U$512*24*'Input'!$F$58/E$317,0)</f>
        <v>0</v>
      </c>
      <c r="W524" s="6">
        <f>IF(C$317&gt;0,$B457*W$512*24*'Input'!$F$58/C$317,0)</f>
        <v>0</v>
      </c>
      <c r="X524" s="6">
        <f>IF(D$317&gt;0,$B457*X$512*24*'Input'!$F$58/D$317,0)</f>
        <v>0</v>
      </c>
      <c r="Y524" s="6">
        <f>IF(E$317&gt;0,$B457*Y$512*24*'Input'!$F$58/E$317,0)</f>
        <v>0</v>
      </c>
      <c r="AA524" s="6">
        <f>IF(C$317&gt;0,$B457*AA$512*24*'Input'!$F$58/C$317,0)</f>
        <v>0</v>
      </c>
      <c r="AB524" s="6">
        <f>IF(D$317&gt;0,$B457*AB$512*24*'Input'!$F$58/D$317,0)</f>
        <v>0</v>
      </c>
      <c r="AC524" s="6">
        <f>IF(E$317&gt;0,$B457*AC$512*24*'Input'!$F$58/E$317,0)</f>
        <v>0</v>
      </c>
      <c r="AE524" s="6">
        <f>IF(C$317&gt;0,$B457*AE$512*24*'Input'!$F$58/C$317,0)</f>
        <v>0</v>
      </c>
      <c r="AF524" s="6">
        <f>IF(D$317&gt;0,$B457*AF$512*24*'Input'!$F$58/D$317,0)</f>
        <v>0</v>
      </c>
      <c r="AG524" s="6">
        <f>IF(E$317&gt;0,$B457*AG$512*24*'Input'!$F$58/E$317,0)</f>
        <v>0</v>
      </c>
      <c r="AI524" s="6">
        <f>IF(C$317&gt;0,$B457*AI$512*24*'Input'!$F$58/C$317,0)</f>
        <v>0</v>
      </c>
      <c r="AJ524" s="6">
        <f>IF(D$317&gt;0,$B457*AJ$512*24*'Input'!$F$58/D$317,0)</f>
        <v>0</v>
      </c>
      <c r="AK524" s="6">
        <f>IF(E$317&gt;0,$B457*AK$512*24*'Input'!$F$58/E$317,0)</f>
        <v>0</v>
      </c>
      <c r="AL524" s="10"/>
    </row>
    <row r="525" spans="1:38">
      <c r="A525" s="11" t="s">
        <v>214</v>
      </c>
      <c r="C525" s="6">
        <f>IF(C$317&gt;0,$B458*C$512*24*'Input'!$F$58/C$317,0)</f>
        <v>0</v>
      </c>
      <c r="D525" s="6">
        <f>IF(D$317&gt;0,$B458*D$512*24*'Input'!$F$58/D$317,0)</f>
        <v>0</v>
      </c>
      <c r="E525" s="6">
        <f>IF(E$317&gt;0,$B458*E$512*24*'Input'!$F$58/E$317,0)</f>
        <v>0</v>
      </c>
      <c r="G525" s="6">
        <f>IF(C$317&gt;0,$B458*G$512*24*'Input'!$F$58/C$317,0)</f>
        <v>0</v>
      </c>
      <c r="H525" s="6">
        <f>IF(D$317&gt;0,$B458*H$512*24*'Input'!$F$58/D$317,0)</f>
        <v>0</v>
      </c>
      <c r="I525" s="6">
        <f>IF(E$317&gt;0,$B458*I$512*24*'Input'!$F$58/E$317,0)</f>
        <v>0</v>
      </c>
      <c r="K525" s="6">
        <f>IF(C$317&gt;0,$B458*K$512*24*'Input'!$F$58/C$317,0)</f>
        <v>0</v>
      </c>
      <c r="L525" s="6">
        <f>IF(D$317&gt;0,$B458*L$512*24*'Input'!$F$58/D$317,0)</f>
        <v>0</v>
      </c>
      <c r="M525" s="6">
        <f>IF(E$317&gt;0,$B458*M$512*24*'Input'!$F$58/E$317,0)</f>
        <v>0</v>
      </c>
      <c r="O525" s="6">
        <f>IF(C$317&gt;0,$B458*O$512*24*'Input'!$F$58/C$317,0)</f>
        <v>0</v>
      </c>
      <c r="P525" s="6">
        <f>IF(D$317&gt;0,$B458*P$512*24*'Input'!$F$58/D$317,0)</f>
        <v>0</v>
      </c>
      <c r="Q525" s="6">
        <f>IF(E$317&gt;0,$B458*Q$512*24*'Input'!$F$58/E$317,0)</f>
        <v>0</v>
      </c>
      <c r="S525" s="6">
        <f>IF(C$317&gt;0,$B458*S$512*24*'Input'!$F$58/C$317,0)</f>
        <v>0</v>
      </c>
      <c r="T525" s="6">
        <f>IF(D$317&gt;0,$B458*T$512*24*'Input'!$F$58/D$317,0)</f>
        <v>0</v>
      </c>
      <c r="U525" s="6">
        <f>IF(E$317&gt;0,$B458*U$512*24*'Input'!$F$58/E$317,0)</f>
        <v>0</v>
      </c>
      <c r="W525" s="6">
        <f>IF(C$317&gt;0,$B458*W$512*24*'Input'!$F$58/C$317,0)</f>
        <v>0</v>
      </c>
      <c r="X525" s="6">
        <f>IF(D$317&gt;0,$B458*X$512*24*'Input'!$F$58/D$317,0)</f>
        <v>0</v>
      </c>
      <c r="Y525" s="6">
        <f>IF(E$317&gt;0,$B458*Y$512*24*'Input'!$F$58/E$317,0)</f>
        <v>0</v>
      </c>
      <c r="AA525" s="6">
        <f>IF(C$317&gt;0,$B458*AA$512*24*'Input'!$F$58/C$317,0)</f>
        <v>0</v>
      </c>
      <c r="AB525" s="6">
        <f>IF(D$317&gt;0,$B458*AB$512*24*'Input'!$F$58/D$317,0)</f>
        <v>0</v>
      </c>
      <c r="AC525" s="6">
        <f>IF(E$317&gt;0,$B458*AC$512*24*'Input'!$F$58/E$317,0)</f>
        <v>0</v>
      </c>
      <c r="AE525" s="6">
        <f>IF(C$317&gt;0,$B458*AE$512*24*'Input'!$F$58/C$317,0)</f>
        <v>0</v>
      </c>
      <c r="AF525" s="6">
        <f>IF(D$317&gt;0,$B458*AF$512*24*'Input'!$F$58/D$317,0)</f>
        <v>0</v>
      </c>
      <c r="AG525" s="6">
        <f>IF(E$317&gt;0,$B458*AG$512*24*'Input'!$F$58/E$317,0)</f>
        <v>0</v>
      </c>
      <c r="AI525" s="6">
        <f>IF(C$317&gt;0,$B458*AI$512*24*'Input'!$F$58/C$317,0)</f>
        <v>0</v>
      </c>
      <c r="AJ525" s="6">
        <f>IF(D$317&gt;0,$B458*AJ$512*24*'Input'!$F$58/D$317,0)</f>
        <v>0</v>
      </c>
      <c r="AK525" s="6">
        <f>IF(E$317&gt;0,$B458*AK$512*24*'Input'!$F$58/E$317,0)</f>
        <v>0</v>
      </c>
      <c r="AL525" s="10"/>
    </row>
    <row r="526" spans="1:38">
      <c r="A526" s="11" t="s">
        <v>215</v>
      </c>
      <c r="C526" s="6">
        <f>IF(C$317&gt;0,$B459*C$512*24*'Input'!$F$58/C$317,0)</f>
        <v>0</v>
      </c>
      <c r="D526" s="6">
        <f>IF(D$317&gt;0,$B459*D$512*24*'Input'!$F$58/D$317,0)</f>
        <v>0</v>
      </c>
      <c r="E526" s="6">
        <f>IF(E$317&gt;0,$B459*E$512*24*'Input'!$F$58/E$317,0)</f>
        <v>0</v>
      </c>
      <c r="G526" s="6">
        <f>IF(C$317&gt;0,$B459*G$512*24*'Input'!$F$58/C$317,0)</f>
        <v>0</v>
      </c>
      <c r="H526" s="6">
        <f>IF(D$317&gt;0,$B459*H$512*24*'Input'!$F$58/D$317,0)</f>
        <v>0</v>
      </c>
      <c r="I526" s="6">
        <f>IF(E$317&gt;0,$B459*I$512*24*'Input'!$F$58/E$317,0)</f>
        <v>0</v>
      </c>
      <c r="K526" s="6">
        <f>IF(C$317&gt;0,$B459*K$512*24*'Input'!$F$58/C$317,0)</f>
        <v>0</v>
      </c>
      <c r="L526" s="6">
        <f>IF(D$317&gt;0,$B459*L$512*24*'Input'!$F$58/D$317,0)</f>
        <v>0</v>
      </c>
      <c r="M526" s="6">
        <f>IF(E$317&gt;0,$B459*M$512*24*'Input'!$F$58/E$317,0)</f>
        <v>0</v>
      </c>
      <c r="O526" s="6">
        <f>IF(C$317&gt;0,$B459*O$512*24*'Input'!$F$58/C$317,0)</f>
        <v>0</v>
      </c>
      <c r="P526" s="6">
        <f>IF(D$317&gt;0,$B459*P$512*24*'Input'!$F$58/D$317,0)</f>
        <v>0</v>
      </c>
      <c r="Q526" s="6">
        <f>IF(E$317&gt;0,$B459*Q$512*24*'Input'!$F$58/E$317,0)</f>
        <v>0</v>
      </c>
      <c r="S526" s="6">
        <f>IF(C$317&gt;0,$B459*S$512*24*'Input'!$F$58/C$317,0)</f>
        <v>0</v>
      </c>
      <c r="T526" s="6">
        <f>IF(D$317&gt;0,$B459*T$512*24*'Input'!$F$58/D$317,0)</f>
        <v>0</v>
      </c>
      <c r="U526" s="6">
        <f>IF(E$317&gt;0,$B459*U$512*24*'Input'!$F$58/E$317,0)</f>
        <v>0</v>
      </c>
      <c r="W526" s="6">
        <f>IF(C$317&gt;0,$B459*W$512*24*'Input'!$F$58/C$317,0)</f>
        <v>0</v>
      </c>
      <c r="X526" s="6">
        <f>IF(D$317&gt;0,$B459*X$512*24*'Input'!$F$58/D$317,0)</f>
        <v>0</v>
      </c>
      <c r="Y526" s="6">
        <f>IF(E$317&gt;0,$B459*Y$512*24*'Input'!$F$58/E$317,0)</f>
        <v>0</v>
      </c>
      <c r="AA526" s="6">
        <f>IF(C$317&gt;0,$B459*AA$512*24*'Input'!$F$58/C$317,0)</f>
        <v>0</v>
      </c>
      <c r="AB526" s="6">
        <f>IF(D$317&gt;0,$B459*AB$512*24*'Input'!$F$58/D$317,0)</f>
        <v>0</v>
      </c>
      <c r="AC526" s="6">
        <f>IF(E$317&gt;0,$B459*AC$512*24*'Input'!$F$58/E$317,0)</f>
        <v>0</v>
      </c>
      <c r="AE526" s="6">
        <f>IF(C$317&gt;0,$B459*AE$512*24*'Input'!$F$58/C$317,0)</f>
        <v>0</v>
      </c>
      <c r="AF526" s="6">
        <f>IF(D$317&gt;0,$B459*AF$512*24*'Input'!$F$58/D$317,0)</f>
        <v>0</v>
      </c>
      <c r="AG526" s="6">
        <f>IF(E$317&gt;0,$B459*AG$512*24*'Input'!$F$58/E$317,0)</f>
        <v>0</v>
      </c>
      <c r="AI526" s="6">
        <f>IF(C$317&gt;0,$B459*AI$512*24*'Input'!$F$58/C$317,0)</f>
        <v>0</v>
      </c>
      <c r="AJ526" s="6">
        <f>IF(D$317&gt;0,$B459*AJ$512*24*'Input'!$F$58/D$317,0)</f>
        <v>0</v>
      </c>
      <c r="AK526" s="6">
        <f>IF(E$317&gt;0,$B459*AK$512*24*'Input'!$F$58/E$317,0)</f>
        <v>0</v>
      </c>
      <c r="AL526" s="10"/>
    </row>
    <row r="527" spans="1:38">
      <c r="A527" s="11" t="s">
        <v>216</v>
      </c>
      <c r="C527" s="6">
        <f>IF(C$317&gt;0,$B460*C$512*24*'Input'!$F$58/C$317,0)</f>
        <v>0</v>
      </c>
      <c r="D527" s="6">
        <f>IF(D$317&gt;0,$B460*D$512*24*'Input'!$F$58/D$317,0)</f>
        <v>0</v>
      </c>
      <c r="E527" s="6">
        <f>IF(E$317&gt;0,$B460*E$512*24*'Input'!$F$58/E$317,0)</f>
        <v>0</v>
      </c>
      <c r="G527" s="6">
        <f>IF(C$317&gt;0,$B460*G$512*24*'Input'!$F$58/C$317,0)</f>
        <v>0</v>
      </c>
      <c r="H527" s="6">
        <f>IF(D$317&gt;0,$B460*H$512*24*'Input'!$F$58/D$317,0)</f>
        <v>0</v>
      </c>
      <c r="I527" s="6">
        <f>IF(E$317&gt;0,$B460*I$512*24*'Input'!$F$58/E$317,0)</f>
        <v>0</v>
      </c>
      <c r="K527" s="6">
        <f>IF(C$317&gt;0,$B460*K$512*24*'Input'!$F$58/C$317,0)</f>
        <v>0</v>
      </c>
      <c r="L527" s="6">
        <f>IF(D$317&gt;0,$B460*L$512*24*'Input'!$F$58/D$317,0)</f>
        <v>0</v>
      </c>
      <c r="M527" s="6">
        <f>IF(E$317&gt;0,$B460*M$512*24*'Input'!$F$58/E$317,0)</f>
        <v>0</v>
      </c>
      <c r="O527" s="6">
        <f>IF(C$317&gt;0,$B460*O$512*24*'Input'!$F$58/C$317,0)</f>
        <v>0</v>
      </c>
      <c r="P527" s="6">
        <f>IF(D$317&gt;0,$B460*P$512*24*'Input'!$F$58/D$317,0)</f>
        <v>0</v>
      </c>
      <c r="Q527" s="6">
        <f>IF(E$317&gt;0,$B460*Q$512*24*'Input'!$F$58/E$317,0)</f>
        <v>0</v>
      </c>
      <c r="S527" s="6">
        <f>IF(C$317&gt;0,$B460*S$512*24*'Input'!$F$58/C$317,0)</f>
        <v>0</v>
      </c>
      <c r="T527" s="6">
        <f>IF(D$317&gt;0,$B460*T$512*24*'Input'!$F$58/D$317,0)</f>
        <v>0</v>
      </c>
      <c r="U527" s="6">
        <f>IF(E$317&gt;0,$B460*U$512*24*'Input'!$F$58/E$317,0)</f>
        <v>0</v>
      </c>
      <c r="W527" s="6">
        <f>IF(C$317&gt;0,$B460*W$512*24*'Input'!$F$58/C$317,0)</f>
        <v>0</v>
      </c>
      <c r="X527" s="6">
        <f>IF(D$317&gt;0,$B460*X$512*24*'Input'!$F$58/D$317,0)</f>
        <v>0</v>
      </c>
      <c r="Y527" s="6">
        <f>IF(E$317&gt;0,$B460*Y$512*24*'Input'!$F$58/E$317,0)</f>
        <v>0</v>
      </c>
      <c r="AA527" s="6">
        <f>IF(C$317&gt;0,$B460*AA$512*24*'Input'!$F$58/C$317,0)</f>
        <v>0</v>
      </c>
      <c r="AB527" s="6">
        <f>IF(D$317&gt;0,$B460*AB$512*24*'Input'!$F$58/D$317,0)</f>
        <v>0</v>
      </c>
      <c r="AC527" s="6">
        <f>IF(E$317&gt;0,$B460*AC$512*24*'Input'!$F$58/E$317,0)</f>
        <v>0</v>
      </c>
      <c r="AE527" s="6">
        <f>IF(C$317&gt;0,$B460*AE$512*24*'Input'!$F$58/C$317,0)</f>
        <v>0</v>
      </c>
      <c r="AF527" s="6">
        <f>IF(D$317&gt;0,$B460*AF$512*24*'Input'!$F$58/D$317,0)</f>
        <v>0</v>
      </c>
      <c r="AG527" s="6">
        <f>IF(E$317&gt;0,$B460*AG$512*24*'Input'!$F$58/E$317,0)</f>
        <v>0</v>
      </c>
      <c r="AI527" s="6">
        <f>IF(C$317&gt;0,$B460*AI$512*24*'Input'!$F$58/C$317,0)</f>
        <v>0</v>
      </c>
      <c r="AJ527" s="6">
        <f>IF(D$317&gt;0,$B460*AJ$512*24*'Input'!$F$58/D$317,0)</f>
        <v>0</v>
      </c>
      <c r="AK527" s="6">
        <f>IF(E$317&gt;0,$B460*AK$512*24*'Input'!$F$58/E$317,0)</f>
        <v>0</v>
      </c>
      <c r="AL527" s="10"/>
    </row>
    <row r="529" spans="1:11">
      <c r="A529" s="1" t="s">
        <v>712</v>
      </c>
    </row>
    <row r="530" spans="1:11">
      <c r="A530" s="2" t="s">
        <v>349</v>
      </c>
    </row>
    <row r="531" spans="1:11">
      <c r="A531" s="12" t="s">
        <v>713</v>
      </c>
    </row>
    <row r="532" spans="1:11">
      <c r="A532" s="12" t="s">
        <v>714</v>
      </c>
    </row>
    <row r="533" spans="1:11">
      <c r="A533" s="2" t="s">
        <v>362</v>
      </c>
    </row>
    <row r="535" spans="1:11">
      <c r="B535" s="3" t="s">
        <v>140</v>
      </c>
      <c r="C535" s="3" t="s">
        <v>141</v>
      </c>
      <c r="D535" s="3" t="s">
        <v>142</v>
      </c>
      <c r="E535" s="3" t="s">
        <v>143</v>
      </c>
      <c r="F535" s="3" t="s">
        <v>144</v>
      </c>
      <c r="G535" s="3" t="s">
        <v>149</v>
      </c>
      <c r="H535" s="3" t="s">
        <v>145</v>
      </c>
      <c r="I535" s="3" t="s">
        <v>146</v>
      </c>
      <c r="J535" s="3" t="s">
        <v>147</v>
      </c>
    </row>
    <row r="536" spans="1:11">
      <c r="A536" s="11" t="s">
        <v>212</v>
      </c>
      <c r="B536" s="6">
        <f>SUMPRODUCT($C523:$E523,$B342:$D342)</f>
        <v>0</v>
      </c>
      <c r="C536" s="6">
        <f>SUMPRODUCT($G523:$I523,$B342:$D342)</f>
        <v>0</v>
      </c>
      <c r="D536" s="6">
        <f>SUMPRODUCT($K523:$M523,$B342:$D342)</f>
        <v>0</v>
      </c>
      <c r="E536" s="6">
        <f>SUMPRODUCT($O523:$Q523,$B342:$D342)</f>
        <v>0</v>
      </c>
      <c r="F536" s="6">
        <f>SUMPRODUCT($S523:$U523,$B342:$D342)</f>
        <v>0</v>
      </c>
      <c r="G536" s="6">
        <f>SUMPRODUCT($W523:$Y523,$B342:$D342)</f>
        <v>0</v>
      </c>
      <c r="H536" s="6">
        <f>SUMPRODUCT($AA523:$AC523,$B342:$D342)</f>
        <v>0</v>
      </c>
      <c r="I536" s="6">
        <f>SUMPRODUCT($AE523:$AG523,$B342:$D342)</f>
        <v>0</v>
      </c>
      <c r="J536" s="6">
        <f>SUMPRODUCT($AI523:$AK523,$B342:$D342)</f>
        <v>0</v>
      </c>
      <c r="K536" s="10"/>
    </row>
    <row r="537" spans="1:11">
      <c r="A537" s="11" t="s">
        <v>213</v>
      </c>
      <c r="B537" s="6">
        <f>SUMPRODUCT($C524:$E524,$B343:$D343)</f>
        <v>0</v>
      </c>
      <c r="C537" s="6">
        <f>SUMPRODUCT($G524:$I524,$B343:$D343)</f>
        <v>0</v>
      </c>
      <c r="D537" s="6">
        <f>SUMPRODUCT($K524:$M524,$B343:$D343)</f>
        <v>0</v>
      </c>
      <c r="E537" s="6">
        <f>SUMPRODUCT($O524:$Q524,$B343:$D343)</f>
        <v>0</v>
      </c>
      <c r="F537" s="6">
        <f>SUMPRODUCT($S524:$U524,$B343:$D343)</f>
        <v>0</v>
      </c>
      <c r="G537" s="6">
        <f>SUMPRODUCT($W524:$Y524,$B343:$D343)</f>
        <v>0</v>
      </c>
      <c r="H537" s="6">
        <f>SUMPRODUCT($AA524:$AC524,$B343:$D343)</f>
        <v>0</v>
      </c>
      <c r="I537" s="6">
        <f>SUMPRODUCT($AE524:$AG524,$B343:$D343)</f>
        <v>0</v>
      </c>
      <c r="J537" s="6">
        <f>SUMPRODUCT($AI524:$AK524,$B343:$D343)</f>
        <v>0</v>
      </c>
      <c r="K537" s="10"/>
    </row>
    <row r="538" spans="1:11">
      <c r="A538" s="11" t="s">
        <v>214</v>
      </c>
      <c r="B538" s="6">
        <f>SUMPRODUCT($C525:$E525,$B344:$D344)</f>
        <v>0</v>
      </c>
      <c r="C538" s="6">
        <f>SUMPRODUCT($G525:$I525,$B344:$D344)</f>
        <v>0</v>
      </c>
      <c r="D538" s="6">
        <f>SUMPRODUCT($K525:$M525,$B344:$D344)</f>
        <v>0</v>
      </c>
      <c r="E538" s="6">
        <f>SUMPRODUCT($O525:$Q525,$B344:$D344)</f>
        <v>0</v>
      </c>
      <c r="F538" s="6">
        <f>SUMPRODUCT($S525:$U525,$B344:$D344)</f>
        <v>0</v>
      </c>
      <c r="G538" s="6">
        <f>SUMPRODUCT($W525:$Y525,$B344:$D344)</f>
        <v>0</v>
      </c>
      <c r="H538" s="6">
        <f>SUMPRODUCT($AA525:$AC525,$B344:$D344)</f>
        <v>0</v>
      </c>
      <c r="I538" s="6">
        <f>SUMPRODUCT($AE525:$AG525,$B344:$D344)</f>
        <v>0</v>
      </c>
      <c r="J538" s="6">
        <f>SUMPRODUCT($AI525:$AK525,$B344:$D344)</f>
        <v>0</v>
      </c>
      <c r="K538" s="10"/>
    </row>
    <row r="539" spans="1:11">
      <c r="A539" s="11" t="s">
        <v>215</v>
      </c>
      <c r="B539" s="6">
        <f>SUMPRODUCT($C526:$E526,$B345:$D345)</f>
        <v>0</v>
      </c>
      <c r="C539" s="6">
        <f>SUMPRODUCT($G526:$I526,$B345:$D345)</f>
        <v>0</v>
      </c>
      <c r="D539" s="6">
        <f>SUMPRODUCT($K526:$M526,$B345:$D345)</f>
        <v>0</v>
      </c>
      <c r="E539" s="6">
        <f>SUMPRODUCT($O526:$Q526,$B345:$D345)</f>
        <v>0</v>
      </c>
      <c r="F539" s="6">
        <f>SUMPRODUCT($S526:$U526,$B345:$D345)</f>
        <v>0</v>
      </c>
      <c r="G539" s="6">
        <f>SUMPRODUCT($W526:$Y526,$B345:$D345)</f>
        <v>0</v>
      </c>
      <c r="H539" s="6">
        <f>SUMPRODUCT($AA526:$AC526,$B345:$D345)</f>
        <v>0</v>
      </c>
      <c r="I539" s="6">
        <f>SUMPRODUCT($AE526:$AG526,$B345:$D345)</f>
        <v>0</v>
      </c>
      <c r="J539" s="6">
        <f>SUMPRODUCT($AI526:$AK526,$B345:$D345)</f>
        <v>0</v>
      </c>
      <c r="K539" s="10"/>
    </row>
    <row r="540" spans="1:11">
      <c r="A540" s="11" t="s">
        <v>216</v>
      </c>
      <c r="B540" s="6">
        <f>SUMPRODUCT($C527:$E527,$B346:$D346)</f>
        <v>0</v>
      </c>
      <c r="C540" s="6">
        <f>SUMPRODUCT($G527:$I527,$B346:$D346)</f>
        <v>0</v>
      </c>
      <c r="D540" s="6">
        <f>SUMPRODUCT($K527:$M527,$B346:$D346)</f>
        <v>0</v>
      </c>
      <c r="E540" s="6">
        <f>SUMPRODUCT($O527:$Q527,$B346:$D346)</f>
        <v>0</v>
      </c>
      <c r="F540" s="6">
        <f>SUMPRODUCT($S527:$U527,$B346:$D346)</f>
        <v>0</v>
      </c>
      <c r="G540" s="6">
        <f>SUMPRODUCT($W527:$Y527,$B346:$D346)</f>
        <v>0</v>
      </c>
      <c r="H540" s="6">
        <f>SUMPRODUCT($AA527:$AC527,$B346:$D346)</f>
        <v>0</v>
      </c>
      <c r="I540" s="6">
        <f>SUMPRODUCT($AE527:$AG527,$B346:$D346)</f>
        <v>0</v>
      </c>
      <c r="J540" s="6">
        <f>SUMPRODUCT($AI527:$AK527,$B346:$D346)</f>
        <v>0</v>
      </c>
      <c r="K540" s="10"/>
    </row>
    <row r="542" spans="1:11">
      <c r="A542" s="1" t="s">
        <v>715</v>
      </c>
    </row>
    <row r="543" spans="1:11">
      <c r="A543" s="2" t="s">
        <v>349</v>
      </c>
    </row>
    <row r="544" spans="1:11">
      <c r="A544" s="12" t="s">
        <v>713</v>
      </c>
    </row>
    <row r="545" spans="1:11">
      <c r="A545" s="12" t="s">
        <v>716</v>
      </c>
    </row>
    <row r="546" spans="1:11">
      <c r="A546" s="2" t="s">
        <v>362</v>
      </c>
    </row>
    <row r="548" spans="1:11">
      <c r="B548" s="3" t="s">
        <v>140</v>
      </c>
      <c r="C548" s="3" t="s">
        <v>141</v>
      </c>
      <c r="D548" s="3" t="s">
        <v>142</v>
      </c>
      <c r="E548" s="3" t="s">
        <v>143</v>
      </c>
      <c r="F548" s="3" t="s">
        <v>144</v>
      </c>
      <c r="G548" s="3" t="s">
        <v>149</v>
      </c>
      <c r="H548" s="3" t="s">
        <v>145</v>
      </c>
      <c r="I548" s="3" t="s">
        <v>146</v>
      </c>
      <c r="J548" s="3" t="s">
        <v>147</v>
      </c>
    </row>
    <row r="549" spans="1:11">
      <c r="A549" s="11" t="s">
        <v>216</v>
      </c>
      <c r="B549" s="6">
        <f>SUMPRODUCT($C$527:$E$527,$B351:$D351)</f>
        <v>0</v>
      </c>
      <c r="C549" s="6">
        <f>SUMPRODUCT($G$527:$I$527,$B351:$D351)</f>
        <v>0</v>
      </c>
      <c r="D549" s="6">
        <f>SUMPRODUCT($K$527:$M$527,$B351:$D351)</f>
        <v>0</v>
      </c>
      <c r="E549" s="6">
        <f>SUMPRODUCT($O$527:$Q$527,$B351:$D351)</f>
        <v>0</v>
      </c>
      <c r="F549" s="6">
        <f>SUMPRODUCT($S$527:$U$527,$B351:$D351)</f>
        <v>0</v>
      </c>
      <c r="G549" s="6">
        <f>SUMPRODUCT($W$527:$Y$527,$B351:$D351)</f>
        <v>0</v>
      </c>
      <c r="H549" s="6">
        <f>SUMPRODUCT($AA$527:$AC$527,$B351:$D351)</f>
        <v>0</v>
      </c>
      <c r="I549" s="6">
        <f>SUMPRODUCT($AE$527:$AG$527,$B351:$D351)</f>
        <v>0</v>
      </c>
      <c r="J549" s="6">
        <f>SUMPRODUCT($AI$527:$AK$527,$B351:$D351)</f>
        <v>0</v>
      </c>
      <c r="K549" s="10"/>
    </row>
    <row r="551" spans="1:11">
      <c r="A551" s="1" t="s">
        <v>717</v>
      </c>
    </row>
    <row r="552" spans="1:11">
      <c r="A552" s="2" t="s">
        <v>349</v>
      </c>
    </row>
    <row r="553" spans="1:11">
      <c r="A553" s="12" t="s">
        <v>713</v>
      </c>
    </row>
    <row r="554" spans="1:11">
      <c r="A554" s="12" t="s">
        <v>718</v>
      </c>
    </row>
    <row r="555" spans="1:11">
      <c r="A555" s="2" t="s">
        <v>362</v>
      </c>
    </row>
    <row r="557" spans="1:11">
      <c r="B557" s="3" t="s">
        <v>140</v>
      </c>
      <c r="C557" s="3" t="s">
        <v>141</v>
      </c>
      <c r="D557" s="3" t="s">
        <v>142</v>
      </c>
      <c r="E557" s="3" t="s">
        <v>143</v>
      </c>
      <c r="F557" s="3" t="s">
        <v>144</v>
      </c>
      <c r="G557" s="3" t="s">
        <v>149</v>
      </c>
      <c r="H557" s="3" t="s">
        <v>145</v>
      </c>
      <c r="I557" s="3" t="s">
        <v>146</v>
      </c>
      <c r="J557" s="3" t="s">
        <v>147</v>
      </c>
    </row>
    <row r="558" spans="1:11">
      <c r="A558" s="11" t="s">
        <v>216</v>
      </c>
      <c r="B558" s="6">
        <f>SUMPRODUCT($C$527:$E$527,$B356:$D356)</f>
        <v>0</v>
      </c>
      <c r="C558" s="6">
        <f>SUMPRODUCT($G$527:$I$527,$B356:$D356)</f>
        <v>0</v>
      </c>
      <c r="D558" s="6">
        <f>SUMPRODUCT($K$527:$M$527,$B356:$D356)</f>
        <v>0</v>
      </c>
      <c r="E558" s="6">
        <f>SUMPRODUCT($O$527:$Q$527,$B356:$D356)</f>
        <v>0</v>
      </c>
      <c r="F558" s="6">
        <f>SUMPRODUCT($S$527:$U$527,$B356:$D356)</f>
        <v>0</v>
      </c>
      <c r="G558" s="6">
        <f>SUMPRODUCT($W$527:$Y$527,$B356:$D356)</f>
        <v>0</v>
      </c>
      <c r="H558" s="6">
        <f>SUMPRODUCT($AA$527:$AC$527,$B356:$D356)</f>
        <v>0</v>
      </c>
      <c r="I558" s="6">
        <f>SUMPRODUCT($AE$527:$AG$527,$B356:$D356)</f>
        <v>0</v>
      </c>
      <c r="J558" s="6">
        <f>SUMPRODUCT($AI$527:$AK$527,$B356:$D356)</f>
        <v>0</v>
      </c>
      <c r="K558" s="10"/>
    </row>
    <row r="560" spans="1:11">
      <c r="A560" s="1" t="s">
        <v>719</v>
      </c>
    </row>
    <row r="561" spans="1:11">
      <c r="A561" s="2" t="s">
        <v>349</v>
      </c>
    </row>
    <row r="562" spans="1:11">
      <c r="A562" s="12" t="s">
        <v>720</v>
      </c>
    </row>
    <row r="563" spans="1:11">
      <c r="A563" s="12" t="s">
        <v>721</v>
      </c>
    </row>
    <row r="564" spans="1:11">
      <c r="A564" s="2" t="s">
        <v>367</v>
      </c>
    </row>
    <row r="566" spans="1:11">
      <c r="B566" s="3" t="s">
        <v>140</v>
      </c>
      <c r="C566" s="3" t="s">
        <v>141</v>
      </c>
      <c r="D566" s="3" t="s">
        <v>142</v>
      </c>
      <c r="E566" s="3" t="s">
        <v>143</v>
      </c>
      <c r="F566" s="3" t="s">
        <v>144</v>
      </c>
      <c r="G566" s="3" t="s">
        <v>149</v>
      </c>
      <c r="H566" s="3" t="s">
        <v>145</v>
      </c>
      <c r="I566" s="3" t="s">
        <v>146</v>
      </c>
      <c r="J566" s="3" t="s">
        <v>147</v>
      </c>
    </row>
    <row r="567" spans="1:11">
      <c r="A567" s="11" t="s">
        <v>173</v>
      </c>
      <c r="B567" s="7">
        <f>$B$260</f>
        <v>0</v>
      </c>
      <c r="C567" s="7">
        <f>$C$260</f>
        <v>0</v>
      </c>
      <c r="D567" s="7">
        <f>$D$260</f>
        <v>0</v>
      </c>
      <c r="E567" s="7">
        <f>$E$260</f>
        <v>0</v>
      </c>
      <c r="F567" s="7">
        <f>$F$260</f>
        <v>0</v>
      </c>
      <c r="G567" s="7">
        <f>$G$260</f>
        <v>0</v>
      </c>
      <c r="H567" s="7">
        <f>$H$260</f>
        <v>0</v>
      </c>
      <c r="I567" s="7">
        <f>$I$260</f>
        <v>0</v>
      </c>
      <c r="J567" s="7">
        <f>$J$260</f>
        <v>0</v>
      </c>
      <c r="K567" s="10"/>
    </row>
    <row r="568" spans="1:11">
      <c r="A568" s="11" t="s">
        <v>210</v>
      </c>
      <c r="B568" s="7">
        <f>$B$261</f>
        <v>0</v>
      </c>
      <c r="C568" s="7">
        <f>$C$261</f>
        <v>0</v>
      </c>
      <c r="D568" s="7">
        <f>$D$261</f>
        <v>0</v>
      </c>
      <c r="E568" s="7">
        <f>$E$261</f>
        <v>0</v>
      </c>
      <c r="F568" s="7">
        <f>$F$261</f>
        <v>0</v>
      </c>
      <c r="G568" s="7">
        <f>$G$261</f>
        <v>0</v>
      </c>
      <c r="H568" s="7">
        <f>$H$261</f>
        <v>0</v>
      </c>
      <c r="I568" s="7">
        <f>$I$261</f>
        <v>0</v>
      </c>
      <c r="J568" s="7">
        <f>$J$261</f>
        <v>0</v>
      </c>
      <c r="K568" s="10"/>
    </row>
    <row r="569" spans="1:11">
      <c r="A569" s="11" t="s">
        <v>175</v>
      </c>
      <c r="B569" s="7">
        <f>$B$262</f>
        <v>0</v>
      </c>
      <c r="C569" s="7">
        <f>$C$262</f>
        <v>0</v>
      </c>
      <c r="D569" s="7">
        <f>$D$262</f>
        <v>0</v>
      </c>
      <c r="E569" s="7">
        <f>$E$262</f>
        <v>0</v>
      </c>
      <c r="F569" s="7">
        <f>$F$262</f>
        <v>0</v>
      </c>
      <c r="G569" s="7">
        <f>$G$262</f>
        <v>0</v>
      </c>
      <c r="H569" s="7">
        <f>$H$262</f>
        <v>0</v>
      </c>
      <c r="I569" s="7">
        <f>$I$262</f>
        <v>0</v>
      </c>
      <c r="J569" s="7">
        <f>$J$262</f>
        <v>0</v>
      </c>
      <c r="K569" s="10"/>
    </row>
    <row r="570" spans="1:11">
      <c r="A570" s="11" t="s">
        <v>211</v>
      </c>
      <c r="B570" s="7">
        <f>$B$263</f>
        <v>0</v>
      </c>
      <c r="C570" s="7">
        <f>$C$263</f>
        <v>0</v>
      </c>
      <c r="D570" s="7">
        <f>$D$263</f>
        <v>0</v>
      </c>
      <c r="E570" s="7">
        <f>$E$263</f>
        <v>0</v>
      </c>
      <c r="F570" s="7">
        <f>$F$263</f>
        <v>0</v>
      </c>
      <c r="G570" s="7">
        <f>$G$263</f>
        <v>0</v>
      </c>
      <c r="H570" s="7">
        <f>$H$263</f>
        <v>0</v>
      </c>
      <c r="I570" s="7">
        <f>$I$263</f>
        <v>0</v>
      </c>
      <c r="J570" s="7">
        <f>$J$263</f>
        <v>0</v>
      </c>
      <c r="K570" s="10"/>
    </row>
    <row r="571" spans="1:11">
      <c r="A571" s="11" t="s">
        <v>176</v>
      </c>
      <c r="B571" s="7">
        <f>$B$264</f>
        <v>0</v>
      </c>
      <c r="C571" s="7">
        <f>$C$264</f>
        <v>0</v>
      </c>
      <c r="D571" s="7">
        <f>$D$264</f>
        <v>0</v>
      </c>
      <c r="E571" s="7">
        <f>$E$264</f>
        <v>0</v>
      </c>
      <c r="F571" s="7">
        <f>$F$264</f>
        <v>0</v>
      </c>
      <c r="G571" s="7">
        <f>$G$264</f>
        <v>0</v>
      </c>
      <c r="H571" s="7">
        <f>$H$264</f>
        <v>0</v>
      </c>
      <c r="I571" s="7">
        <f>$I$264</f>
        <v>0</v>
      </c>
      <c r="J571" s="7">
        <f>$J$264</f>
        <v>0</v>
      </c>
      <c r="K571" s="10"/>
    </row>
    <row r="572" spans="1:11">
      <c r="A572" s="11" t="s">
        <v>177</v>
      </c>
      <c r="B572" s="7">
        <f>$B$265</f>
        <v>0</v>
      </c>
      <c r="C572" s="7">
        <f>$C$265</f>
        <v>0</v>
      </c>
      <c r="D572" s="7">
        <f>$D$265</f>
        <v>0</v>
      </c>
      <c r="E572" s="7">
        <f>$E$265</f>
        <v>0</v>
      </c>
      <c r="F572" s="7">
        <f>$F$265</f>
        <v>0</v>
      </c>
      <c r="G572" s="7">
        <f>$G$265</f>
        <v>0</v>
      </c>
      <c r="H572" s="7">
        <f>$H$265</f>
        <v>0</v>
      </c>
      <c r="I572" s="7">
        <f>$I$265</f>
        <v>0</v>
      </c>
      <c r="J572" s="7">
        <f>$J$265</f>
        <v>0</v>
      </c>
      <c r="K572" s="10"/>
    </row>
    <row r="573" spans="1:11">
      <c r="A573" s="11" t="s">
        <v>191</v>
      </c>
      <c r="B573" s="7">
        <f>$B$266</f>
        <v>0</v>
      </c>
      <c r="C573" s="7">
        <f>$C$266</f>
        <v>0</v>
      </c>
      <c r="D573" s="7">
        <f>$D$266</f>
        <v>0</v>
      </c>
      <c r="E573" s="7">
        <f>$E$266</f>
        <v>0</v>
      </c>
      <c r="F573" s="7">
        <f>$F$266</f>
        <v>0</v>
      </c>
      <c r="G573" s="7">
        <f>$G$266</f>
        <v>0</v>
      </c>
      <c r="H573" s="7">
        <f>$H$266</f>
        <v>0</v>
      </c>
      <c r="I573" s="7">
        <f>$I$266</f>
        <v>0</v>
      </c>
      <c r="J573" s="7">
        <f>$J$266</f>
        <v>0</v>
      </c>
      <c r="K573" s="10"/>
    </row>
    <row r="574" spans="1:11">
      <c r="A574" s="11" t="s">
        <v>178</v>
      </c>
      <c r="B574" s="7">
        <f>$B$267</f>
        <v>0</v>
      </c>
      <c r="C574" s="7">
        <f>$C$267</f>
        <v>0</v>
      </c>
      <c r="D574" s="7">
        <f>$D$267</f>
        <v>0</v>
      </c>
      <c r="E574" s="7">
        <f>$E$267</f>
        <v>0</v>
      </c>
      <c r="F574" s="7">
        <f>$F$267</f>
        <v>0</v>
      </c>
      <c r="G574" s="7">
        <f>$G$267</f>
        <v>0</v>
      </c>
      <c r="H574" s="7">
        <f>$H$267</f>
        <v>0</v>
      </c>
      <c r="I574" s="7">
        <f>$I$267</f>
        <v>0</v>
      </c>
      <c r="J574" s="7">
        <f>$J$267</f>
        <v>0</v>
      </c>
      <c r="K574" s="10"/>
    </row>
    <row r="575" spans="1:11">
      <c r="A575" s="11" t="s">
        <v>179</v>
      </c>
      <c r="B575" s="7">
        <f>$B$268</f>
        <v>0</v>
      </c>
      <c r="C575" s="7">
        <f>$C$268</f>
        <v>0</v>
      </c>
      <c r="D575" s="7">
        <f>$D$268</f>
        <v>0</v>
      </c>
      <c r="E575" s="7">
        <f>$E$268</f>
        <v>0</v>
      </c>
      <c r="F575" s="7">
        <f>$F$268</f>
        <v>0</v>
      </c>
      <c r="G575" s="7">
        <f>$G$268</f>
        <v>0</v>
      </c>
      <c r="H575" s="7">
        <f>$H$268</f>
        <v>0</v>
      </c>
      <c r="I575" s="7">
        <f>$I$268</f>
        <v>0</v>
      </c>
      <c r="J575" s="7">
        <f>$J$268</f>
        <v>0</v>
      </c>
      <c r="K575" s="10"/>
    </row>
    <row r="576" spans="1:11">
      <c r="A576" s="11" t="s">
        <v>192</v>
      </c>
      <c r="B576" s="7">
        <f>$B$269</f>
        <v>0</v>
      </c>
      <c r="C576" s="7">
        <f>$C$269</f>
        <v>0</v>
      </c>
      <c r="D576" s="7">
        <f>$D$269</f>
        <v>0</v>
      </c>
      <c r="E576" s="7">
        <f>$E$269</f>
        <v>0</v>
      </c>
      <c r="F576" s="7">
        <f>$F$269</f>
        <v>0</v>
      </c>
      <c r="G576" s="7">
        <f>$G$269</f>
        <v>0</v>
      </c>
      <c r="H576" s="7">
        <f>$H$269</f>
        <v>0</v>
      </c>
      <c r="I576" s="7">
        <f>$I$269</f>
        <v>0</v>
      </c>
      <c r="J576" s="7">
        <f>$J$269</f>
        <v>0</v>
      </c>
      <c r="K576" s="10"/>
    </row>
    <row r="577" spans="1:11">
      <c r="A577" s="11" t="s">
        <v>183</v>
      </c>
      <c r="B577" s="7">
        <f>$B$270</f>
        <v>0</v>
      </c>
      <c r="C577" s="7">
        <f>$C$270</f>
        <v>0</v>
      </c>
      <c r="D577" s="7">
        <f>$D$270</f>
        <v>0</v>
      </c>
      <c r="E577" s="7">
        <f>$E$270</f>
        <v>0</v>
      </c>
      <c r="F577" s="7">
        <f>$F$270</f>
        <v>0</v>
      </c>
      <c r="G577" s="7">
        <f>$G$270</f>
        <v>0</v>
      </c>
      <c r="H577" s="7">
        <f>$H$270</f>
        <v>0</v>
      </c>
      <c r="I577" s="7">
        <f>$I$270</f>
        <v>0</v>
      </c>
      <c r="J577" s="7">
        <f>$J$270</f>
        <v>0</v>
      </c>
      <c r="K577" s="10"/>
    </row>
    <row r="578" spans="1:11">
      <c r="A578" s="11" t="s">
        <v>185</v>
      </c>
      <c r="B578" s="7">
        <f>$B$271</f>
        <v>0</v>
      </c>
      <c r="C578" s="7">
        <f>$C$271</f>
        <v>0</v>
      </c>
      <c r="D578" s="7">
        <f>$D$271</f>
        <v>0</v>
      </c>
      <c r="E578" s="7">
        <f>$E$271</f>
        <v>0</v>
      </c>
      <c r="F578" s="7">
        <f>$F$271</f>
        <v>0</v>
      </c>
      <c r="G578" s="7">
        <f>$G$271</f>
        <v>0</v>
      </c>
      <c r="H578" s="7">
        <f>$H$271</f>
        <v>0</v>
      </c>
      <c r="I578" s="7">
        <f>$I$271</f>
        <v>0</v>
      </c>
      <c r="J578" s="7">
        <f>$J$271</f>
        <v>0</v>
      </c>
      <c r="K578" s="10"/>
    </row>
    <row r="579" spans="1:11">
      <c r="A579" s="11" t="s">
        <v>194</v>
      </c>
      <c r="B579" s="7">
        <f>$B$272</f>
        <v>0</v>
      </c>
      <c r="C579" s="7">
        <f>$C$272</f>
        <v>0</v>
      </c>
      <c r="D579" s="7">
        <f>$D$272</f>
        <v>0</v>
      </c>
      <c r="E579" s="7">
        <f>$E$272</f>
        <v>0</v>
      </c>
      <c r="F579" s="7">
        <f>$F$272</f>
        <v>0</v>
      </c>
      <c r="G579" s="7">
        <f>$G$272</f>
        <v>0</v>
      </c>
      <c r="H579" s="7">
        <f>$H$272</f>
        <v>0</v>
      </c>
      <c r="I579" s="7">
        <f>$I$272</f>
        <v>0</v>
      </c>
      <c r="J579" s="7">
        <f>$J$272</f>
        <v>0</v>
      </c>
      <c r="K579" s="10"/>
    </row>
    <row r="580" spans="1:11">
      <c r="A580" s="11" t="s">
        <v>212</v>
      </c>
      <c r="B580" s="7">
        <f>$B$536</f>
        <v>0</v>
      </c>
      <c r="C580" s="7">
        <f>$C$536</f>
        <v>0</v>
      </c>
      <c r="D580" s="7">
        <f>$D$536</f>
        <v>0</v>
      </c>
      <c r="E580" s="7">
        <f>$E$536</f>
        <v>0</v>
      </c>
      <c r="F580" s="7">
        <f>$F$536</f>
        <v>0</v>
      </c>
      <c r="G580" s="7">
        <f>$G$536</f>
        <v>0</v>
      </c>
      <c r="H580" s="7">
        <f>$H$536</f>
        <v>0</v>
      </c>
      <c r="I580" s="7">
        <f>$I$536</f>
        <v>0</v>
      </c>
      <c r="J580" s="7">
        <f>$J$536</f>
        <v>0</v>
      </c>
      <c r="K580" s="10"/>
    </row>
    <row r="581" spans="1:11">
      <c r="A581" s="11" t="s">
        <v>213</v>
      </c>
      <c r="B581" s="7">
        <f>$B$537</f>
        <v>0</v>
      </c>
      <c r="C581" s="7">
        <f>$C$537</f>
        <v>0</v>
      </c>
      <c r="D581" s="7">
        <f>$D$537</f>
        <v>0</v>
      </c>
      <c r="E581" s="7">
        <f>$E$537</f>
        <v>0</v>
      </c>
      <c r="F581" s="7">
        <f>$F$537</f>
        <v>0</v>
      </c>
      <c r="G581" s="7">
        <f>$G$537</f>
        <v>0</v>
      </c>
      <c r="H581" s="7">
        <f>$H$537</f>
        <v>0</v>
      </c>
      <c r="I581" s="7">
        <f>$I$537</f>
        <v>0</v>
      </c>
      <c r="J581" s="7">
        <f>$J$537</f>
        <v>0</v>
      </c>
      <c r="K581" s="10"/>
    </row>
    <row r="582" spans="1:11">
      <c r="A582" s="11" t="s">
        <v>214</v>
      </c>
      <c r="B582" s="7">
        <f>$B$538</f>
        <v>0</v>
      </c>
      <c r="C582" s="7">
        <f>$C$538</f>
        <v>0</v>
      </c>
      <c r="D582" s="7">
        <f>$D$538</f>
        <v>0</v>
      </c>
      <c r="E582" s="7">
        <f>$E$538</f>
        <v>0</v>
      </c>
      <c r="F582" s="7">
        <f>$F$538</f>
        <v>0</v>
      </c>
      <c r="G582" s="7">
        <f>$G$538</f>
        <v>0</v>
      </c>
      <c r="H582" s="7">
        <f>$H$538</f>
        <v>0</v>
      </c>
      <c r="I582" s="7">
        <f>$I$538</f>
        <v>0</v>
      </c>
      <c r="J582" s="7">
        <f>$J$538</f>
        <v>0</v>
      </c>
      <c r="K582" s="10"/>
    </row>
    <row r="583" spans="1:11">
      <c r="A583" s="11" t="s">
        <v>215</v>
      </c>
      <c r="B583" s="7">
        <f>$B$539</f>
        <v>0</v>
      </c>
      <c r="C583" s="7">
        <f>$C$539</f>
        <v>0</v>
      </c>
      <c r="D583" s="7">
        <f>$D$539</f>
        <v>0</v>
      </c>
      <c r="E583" s="7">
        <f>$E$539</f>
        <v>0</v>
      </c>
      <c r="F583" s="7">
        <f>$F$539</f>
        <v>0</v>
      </c>
      <c r="G583" s="7">
        <f>$G$539</f>
        <v>0</v>
      </c>
      <c r="H583" s="7">
        <f>$H$539</f>
        <v>0</v>
      </c>
      <c r="I583" s="7">
        <f>$I$539</f>
        <v>0</v>
      </c>
      <c r="J583" s="7">
        <f>$J$539</f>
        <v>0</v>
      </c>
      <c r="K583" s="10"/>
    </row>
    <row r="584" spans="1:11">
      <c r="A584" s="11" t="s">
        <v>216</v>
      </c>
      <c r="B584" s="7">
        <f>$B$540</f>
        <v>0</v>
      </c>
      <c r="C584" s="7">
        <f>$C$540</f>
        <v>0</v>
      </c>
      <c r="D584" s="7">
        <f>$D$540</f>
        <v>0</v>
      </c>
      <c r="E584" s="7">
        <f>$E$540</f>
        <v>0</v>
      </c>
      <c r="F584" s="7">
        <f>$F$540</f>
        <v>0</v>
      </c>
      <c r="G584" s="7">
        <f>$G$540</f>
        <v>0</v>
      </c>
      <c r="H584" s="7">
        <f>$H$540</f>
        <v>0</v>
      </c>
      <c r="I584" s="7">
        <f>$I$540</f>
        <v>0</v>
      </c>
      <c r="J584" s="7">
        <f>$J$540</f>
        <v>0</v>
      </c>
      <c r="K584" s="10"/>
    </row>
    <row r="586" spans="1:11">
      <c r="A586" s="1" t="s">
        <v>722</v>
      </c>
    </row>
    <row r="587" spans="1:11">
      <c r="A587" s="2" t="s">
        <v>349</v>
      </c>
    </row>
    <row r="588" spans="1:11">
      <c r="A588" s="12" t="s">
        <v>723</v>
      </c>
    </row>
    <row r="589" spans="1:11">
      <c r="A589" s="12" t="s">
        <v>724</v>
      </c>
    </row>
    <row r="590" spans="1:11">
      <c r="A590" s="2" t="s">
        <v>367</v>
      </c>
    </row>
    <row r="592" spans="1:11">
      <c r="B592" s="3" t="s">
        <v>140</v>
      </c>
      <c r="C592" s="3" t="s">
        <v>141</v>
      </c>
      <c r="D592" s="3" t="s">
        <v>142</v>
      </c>
      <c r="E592" s="3" t="s">
        <v>143</v>
      </c>
      <c r="F592" s="3" t="s">
        <v>144</v>
      </c>
      <c r="G592" s="3" t="s">
        <v>149</v>
      </c>
      <c r="H592" s="3" t="s">
        <v>145</v>
      </c>
      <c r="I592" s="3" t="s">
        <v>146</v>
      </c>
      <c r="J592" s="3" t="s">
        <v>147</v>
      </c>
    </row>
    <row r="593" spans="1:11">
      <c r="A593" s="11" t="s">
        <v>173</v>
      </c>
      <c r="B593" s="7">
        <f>$B$281</f>
        <v>0</v>
      </c>
      <c r="C593" s="7">
        <f>$C$281</f>
        <v>0</v>
      </c>
      <c r="D593" s="7">
        <f>$D$281</f>
        <v>0</v>
      </c>
      <c r="E593" s="7">
        <f>$E$281</f>
        <v>0</v>
      </c>
      <c r="F593" s="7">
        <f>$F$281</f>
        <v>0</v>
      </c>
      <c r="G593" s="7">
        <f>$G$281</f>
        <v>0</v>
      </c>
      <c r="H593" s="7">
        <f>$H$281</f>
        <v>0</v>
      </c>
      <c r="I593" s="7">
        <f>$I$281</f>
        <v>0</v>
      </c>
      <c r="J593" s="7">
        <f>$J$281</f>
        <v>0</v>
      </c>
      <c r="K593" s="10"/>
    </row>
    <row r="594" spans="1:11">
      <c r="A594" s="11" t="s">
        <v>175</v>
      </c>
      <c r="B594" s="7">
        <f>$B$282</f>
        <v>0</v>
      </c>
      <c r="C594" s="7">
        <f>$C$282</f>
        <v>0</v>
      </c>
      <c r="D594" s="7">
        <f>$D$282</f>
        <v>0</v>
      </c>
      <c r="E594" s="7">
        <f>$E$282</f>
        <v>0</v>
      </c>
      <c r="F594" s="7">
        <f>$F$282</f>
        <v>0</v>
      </c>
      <c r="G594" s="7">
        <f>$G$282</f>
        <v>0</v>
      </c>
      <c r="H594" s="7">
        <f>$H$282</f>
        <v>0</v>
      </c>
      <c r="I594" s="7">
        <f>$I$282</f>
        <v>0</v>
      </c>
      <c r="J594" s="7">
        <f>$J$282</f>
        <v>0</v>
      </c>
      <c r="K594" s="10"/>
    </row>
    <row r="595" spans="1:11">
      <c r="A595" s="11" t="s">
        <v>176</v>
      </c>
      <c r="B595" s="7">
        <f>$B$283</f>
        <v>0</v>
      </c>
      <c r="C595" s="7">
        <f>$C$283</f>
        <v>0</v>
      </c>
      <c r="D595" s="7">
        <f>$D$283</f>
        <v>0</v>
      </c>
      <c r="E595" s="7">
        <f>$E$283</f>
        <v>0</v>
      </c>
      <c r="F595" s="7">
        <f>$F$283</f>
        <v>0</v>
      </c>
      <c r="G595" s="7">
        <f>$G$283</f>
        <v>0</v>
      </c>
      <c r="H595" s="7">
        <f>$H$283</f>
        <v>0</v>
      </c>
      <c r="I595" s="7">
        <f>$I$283</f>
        <v>0</v>
      </c>
      <c r="J595" s="7">
        <f>$J$283</f>
        <v>0</v>
      </c>
      <c r="K595" s="10"/>
    </row>
    <row r="596" spans="1:11">
      <c r="A596" s="11" t="s">
        <v>177</v>
      </c>
      <c r="B596" s="7">
        <f>$B$284</f>
        <v>0</v>
      </c>
      <c r="C596" s="7">
        <f>$C$284</f>
        <v>0</v>
      </c>
      <c r="D596" s="7">
        <f>$D$284</f>
        <v>0</v>
      </c>
      <c r="E596" s="7">
        <f>$E$284</f>
        <v>0</v>
      </c>
      <c r="F596" s="7">
        <f>$F$284</f>
        <v>0</v>
      </c>
      <c r="G596" s="7">
        <f>$G$284</f>
        <v>0</v>
      </c>
      <c r="H596" s="7">
        <f>$H$284</f>
        <v>0</v>
      </c>
      <c r="I596" s="7">
        <f>$I$284</f>
        <v>0</v>
      </c>
      <c r="J596" s="7">
        <f>$J$284</f>
        <v>0</v>
      </c>
      <c r="K596" s="10"/>
    </row>
    <row r="597" spans="1:11">
      <c r="A597" s="11" t="s">
        <v>191</v>
      </c>
      <c r="B597" s="7">
        <f>$B$285</f>
        <v>0</v>
      </c>
      <c r="C597" s="7">
        <f>$C$285</f>
        <v>0</v>
      </c>
      <c r="D597" s="7">
        <f>$D$285</f>
        <v>0</v>
      </c>
      <c r="E597" s="7">
        <f>$E$285</f>
        <v>0</v>
      </c>
      <c r="F597" s="7">
        <f>$F$285</f>
        <v>0</v>
      </c>
      <c r="G597" s="7">
        <f>$G$285</f>
        <v>0</v>
      </c>
      <c r="H597" s="7">
        <f>$H$285</f>
        <v>0</v>
      </c>
      <c r="I597" s="7">
        <f>$I$285</f>
        <v>0</v>
      </c>
      <c r="J597" s="7">
        <f>$J$285</f>
        <v>0</v>
      </c>
      <c r="K597" s="10"/>
    </row>
    <row r="598" spans="1:11">
      <c r="A598" s="11" t="s">
        <v>178</v>
      </c>
      <c r="B598" s="7">
        <f>$B$286</f>
        <v>0</v>
      </c>
      <c r="C598" s="7">
        <f>$C$286</f>
        <v>0</v>
      </c>
      <c r="D598" s="7">
        <f>$D$286</f>
        <v>0</v>
      </c>
      <c r="E598" s="7">
        <f>$E$286</f>
        <v>0</v>
      </c>
      <c r="F598" s="7">
        <f>$F$286</f>
        <v>0</v>
      </c>
      <c r="G598" s="7">
        <f>$G$286</f>
        <v>0</v>
      </c>
      <c r="H598" s="7">
        <f>$H$286</f>
        <v>0</v>
      </c>
      <c r="I598" s="7">
        <f>$I$286</f>
        <v>0</v>
      </c>
      <c r="J598" s="7">
        <f>$J$286</f>
        <v>0</v>
      </c>
      <c r="K598" s="10"/>
    </row>
    <row r="599" spans="1:11">
      <c r="A599" s="11" t="s">
        <v>179</v>
      </c>
      <c r="B599" s="7">
        <f>$B$287</f>
        <v>0</v>
      </c>
      <c r="C599" s="7">
        <f>$C$287</f>
        <v>0</v>
      </c>
      <c r="D599" s="7">
        <f>$D$287</f>
        <v>0</v>
      </c>
      <c r="E599" s="7">
        <f>$E$287</f>
        <v>0</v>
      </c>
      <c r="F599" s="7">
        <f>$F$287</f>
        <v>0</v>
      </c>
      <c r="G599" s="7">
        <f>$G$287</f>
        <v>0</v>
      </c>
      <c r="H599" s="7">
        <f>$H$287</f>
        <v>0</v>
      </c>
      <c r="I599" s="7">
        <f>$I$287</f>
        <v>0</v>
      </c>
      <c r="J599" s="7">
        <f>$J$287</f>
        <v>0</v>
      </c>
      <c r="K599" s="10"/>
    </row>
    <row r="600" spans="1:11">
      <c r="A600" s="11" t="s">
        <v>192</v>
      </c>
      <c r="B600" s="7">
        <f>$B$288</f>
        <v>0</v>
      </c>
      <c r="C600" s="7">
        <f>$C$288</f>
        <v>0</v>
      </c>
      <c r="D600" s="7">
        <f>$D$288</f>
        <v>0</v>
      </c>
      <c r="E600" s="7">
        <f>$E$288</f>
        <v>0</v>
      </c>
      <c r="F600" s="7">
        <f>$F$288</f>
        <v>0</v>
      </c>
      <c r="G600" s="7">
        <f>$G$288</f>
        <v>0</v>
      </c>
      <c r="H600" s="7">
        <f>$H$288</f>
        <v>0</v>
      </c>
      <c r="I600" s="7">
        <f>$I$288</f>
        <v>0</v>
      </c>
      <c r="J600" s="7">
        <f>$J$288</f>
        <v>0</v>
      </c>
      <c r="K600" s="10"/>
    </row>
    <row r="601" spans="1:11">
      <c r="A601" s="11" t="s">
        <v>183</v>
      </c>
      <c r="B601" s="7">
        <f>$B$289</f>
        <v>0</v>
      </c>
      <c r="C601" s="7">
        <f>$C$289</f>
        <v>0</v>
      </c>
      <c r="D601" s="7">
        <f>$D$289</f>
        <v>0</v>
      </c>
      <c r="E601" s="7">
        <f>$E$289</f>
        <v>0</v>
      </c>
      <c r="F601" s="7">
        <f>$F$289</f>
        <v>0</v>
      </c>
      <c r="G601" s="7">
        <f>$G$289</f>
        <v>0</v>
      </c>
      <c r="H601" s="7">
        <f>$H$289</f>
        <v>0</v>
      </c>
      <c r="I601" s="7">
        <f>$I$289</f>
        <v>0</v>
      </c>
      <c r="J601" s="7">
        <f>$J$289</f>
        <v>0</v>
      </c>
      <c r="K601" s="10"/>
    </row>
    <row r="602" spans="1:11">
      <c r="A602" s="11" t="s">
        <v>185</v>
      </c>
      <c r="B602" s="7">
        <f>$B$290</f>
        <v>0</v>
      </c>
      <c r="C602" s="7">
        <f>$C$290</f>
        <v>0</v>
      </c>
      <c r="D602" s="7">
        <f>$D$290</f>
        <v>0</v>
      </c>
      <c r="E602" s="7">
        <f>$E$290</f>
        <v>0</v>
      </c>
      <c r="F602" s="7">
        <f>$F$290</f>
        <v>0</v>
      </c>
      <c r="G602" s="7">
        <f>$G$290</f>
        <v>0</v>
      </c>
      <c r="H602" s="7">
        <f>$H$290</f>
        <v>0</v>
      </c>
      <c r="I602" s="7">
        <f>$I$290</f>
        <v>0</v>
      </c>
      <c r="J602" s="7">
        <f>$J$290</f>
        <v>0</v>
      </c>
      <c r="K602" s="10"/>
    </row>
    <row r="603" spans="1:11">
      <c r="A603" s="11" t="s">
        <v>194</v>
      </c>
      <c r="B603" s="7">
        <f>$B$291</f>
        <v>0</v>
      </c>
      <c r="C603" s="7">
        <f>$C$291</f>
        <v>0</v>
      </c>
      <c r="D603" s="7">
        <f>$D$291</f>
        <v>0</v>
      </c>
      <c r="E603" s="7">
        <f>$E$291</f>
        <v>0</v>
      </c>
      <c r="F603" s="7">
        <f>$F$291</f>
        <v>0</v>
      </c>
      <c r="G603" s="7">
        <f>$G$291</f>
        <v>0</v>
      </c>
      <c r="H603" s="7">
        <f>$H$291</f>
        <v>0</v>
      </c>
      <c r="I603" s="7">
        <f>$I$291</f>
        <v>0</v>
      </c>
      <c r="J603" s="7">
        <f>$J$291</f>
        <v>0</v>
      </c>
      <c r="K603" s="10"/>
    </row>
    <row r="604" spans="1:11">
      <c r="A604" s="11" t="s">
        <v>216</v>
      </c>
      <c r="B604" s="7">
        <f>$B$549</f>
        <v>0</v>
      </c>
      <c r="C604" s="7">
        <f>$C$549</f>
        <v>0</v>
      </c>
      <c r="D604" s="7">
        <f>$D$549</f>
        <v>0</v>
      </c>
      <c r="E604" s="7">
        <f>$E$549</f>
        <v>0</v>
      </c>
      <c r="F604" s="7">
        <f>$F$549</f>
        <v>0</v>
      </c>
      <c r="G604" s="7">
        <f>$G$549</f>
        <v>0</v>
      </c>
      <c r="H604" s="7">
        <f>$H$549</f>
        <v>0</v>
      </c>
      <c r="I604" s="7">
        <f>$I$549</f>
        <v>0</v>
      </c>
      <c r="J604" s="7">
        <f>$J$549</f>
        <v>0</v>
      </c>
      <c r="K604" s="10"/>
    </row>
    <row r="606" spans="1:11">
      <c r="A606" s="1" t="s">
        <v>725</v>
      </c>
    </row>
    <row r="607" spans="1:11">
      <c r="A607" s="2" t="s">
        <v>349</v>
      </c>
    </row>
    <row r="608" spans="1:11">
      <c r="A608" s="12" t="s">
        <v>726</v>
      </c>
    </row>
    <row r="609" spans="1:11">
      <c r="A609" s="12" t="s">
        <v>727</v>
      </c>
    </row>
    <row r="610" spans="1:11">
      <c r="A610" s="2" t="s">
        <v>367</v>
      </c>
    </row>
    <row r="612" spans="1:11">
      <c r="B612" s="3" t="s">
        <v>140</v>
      </c>
      <c r="C612" s="3" t="s">
        <v>141</v>
      </c>
      <c r="D612" s="3" t="s">
        <v>142</v>
      </c>
      <c r="E612" s="3" t="s">
        <v>143</v>
      </c>
      <c r="F612" s="3" t="s">
        <v>144</v>
      </c>
      <c r="G612" s="3" t="s">
        <v>149</v>
      </c>
      <c r="H612" s="3" t="s">
        <v>145</v>
      </c>
      <c r="I612" s="3" t="s">
        <v>146</v>
      </c>
      <c r="J612" s="3" t="s">
        <v>147</v>
      </c>
    </row>
    <row r="613" spans="1:11">
      <c r="A613" s="11" t="s">
        <v>178</v>
      </c>
      <c r="B613" s="7">
        <f>$B$300</f>
        <v>0</v>
      </c>
      <c r="C613" s="7">
        <f>$C$300</f>
        <v>0</v>
      </c>
      <c r="D613" s="7">
        <f>$D$300</f>
        <v>0</v>
      </c>
      <c r="E613" s="7">
        <f>$E$300</f>
        <v>0</v>
      </c>
      <c r="F613" s="7">
        <f>$F$300</f>
        <v>0</v>
      </c>
      <c r="G613" s="7">
        <f>$G$300</f>
        <v>0</v>
      </c>
      <c r="H613" s="7">
        <f>$H$300</f>
        <v>0</v>
      </c>
      <c r="I613" s="7">
        <f>$I$300</f>
        <v>0</v>
      </c>
      <c r="J613" s="7">
        <f>$J$300</f>
        <v>0</v>
      </c>
      <c r="K613" s="10"/>
    </row>
    <row r="614" spans="1:11">
      <c r="A614" s="11" t="s">
        <v>179</v>
      </c>
      <c r="B614" s="7">
        <f>$B$301</f>
        <v>0</v>
      </c>
      <c r="C614" s="7">
        <f>$C$301</f>
        <v>0</v>
      </c>
      <c r="D614" s="7">
        <f>$D$301</f>
        <v>0</v>
      </c>
      <c r="E614" s="7">
        <f>$E$301</f>
        <v>0</v>
      </c>
      <c r="F614" s="7">
        <f>$F$301</f>
        <v>0</v>
      </c>
      <c r="G614" s="7">
        <f>$G$301</f>
        <v>0</v>
      </c>
      <c r="H614" s="7">
        <f>$H$301</f>
        <v>0</v>
      </c>
      <c r="I614" s="7">
        <f>$I$301</f>
        <v>0</v>
      </c>
      <c r="J614" s="7">
        <f>$J$301</f>
        <v>0</v>
      </c>
      <c r="K614" s="10"/>
    </row>
    <row r="615" spans="1:11">
      <c r="A615" s="11" t="s">
        <v>192</v>
      </c>
      <c r="B615" s="7">
        <f>$B$302</f>
        <v>0</v>
      </c>
      <c r="C615" s="7">
        <f>$C$302</f>
        <v>0</v>
      </c>
      <c r="D615" s="7">
        <f>$D$302</f>
        <v>0</v>
      </c>
      <c r="E615" s="7">
        <f>$E$302</f>
        <v>0</v>
      </c>
      <c r="F615" s="7">
        <f>$F$302</f>
        <v>0</v>
      </c>
      <c r="G615" s="7">
        <f>$G$302</f>
        <v>0</v>
      </c>
      <c r="H615" s="7">
        <f>$H$302</f>
        <v>0</v>
      </c>
      <c r="I615" s="7">
        <f>$I$302</f>
        <v>0</v>
      </c>
      <c r="J615" s="7">
        <f>$J$302</f>
        <v>0</v>
      </c>
      <c r="K615" s="10"/>
    </row>
    <row r="616" spans="1:11">
      <c r="A616" s="11" t="s">
        <v>183</v>
      </c>
      <c r="B616" s="7">
        <f>$B$303</f>
        <v>0</v>
      </c>
      <c r="C616" s="7">
        <f>$C$303</f>
        <v>0</v>
      </c>
      <c r="D616" s="7">
        <f>$D$303</f>
        <v>0</v>
      </c>
      <c r="E616" s="7">
        <f>$E$303</f>
        <v>0</v>
      </c>
      <c r="F616" s="7">
        <f>$F$303</f>
        <v>0</v>
      </c>
      <c r="G616" s="7">
        <f>$G$303</f>
        <v>0</v>
      </c>
      <c r="H616" s="7">
        <f>$H$303</f>
        <v>0</v>
      </c>
      <c r="I616" s="7">
        <f>$I$303</f>
        <v>0</v>
      </c>
      <c r="J616" s="7">
        <f>$J$303</f>
        <v>0</v>
      </c>
      <c r="K616" s="10"/>
    </row>
    <row r="617" spans="1:11">
      <c r="A617" s="11" t="s">
        <v>185</v>
      </c>
      <c r="B617" s="7">
        <f>$B$304</f>
        <v>0</v>
      </c>
      <c r="C617" s="7">
        <f>$C$304</f>
        <v>0</v>
      </c>
      <c r="D617" s="7">
        <f>$D$304</f>
        <v>0</v>
      </c>
      <c r="E617" s="7">
        <f>$E$304</f>
        <v>0</v>
      </c>
      <c r="F617" s="7">
        <f>$F$304</f>
        <v>0</v>
      </c>
      <c r="G617" s="7">
        <f>$G$304</f>
        <v>0</v>
      </c>
      <c r="H617" s="7">
        <f>$H$304</f>
        <v>0</v>
      </c>
      <c r="I617" s="7">
        <f>$I$304</f>
        <v>0</v>
      </c>
      <c r="J617" s="7">
        <f>$J$304</f>
        <v>0</v>
      </c>
      <c r="K617" s="10"/>
    </row>
    <row r="618" spans="1:11">
      <c r="A618" s="11" t="s">
        <v>194</v>
      </c>
      <c r="B618" s="7">
        <f>$B$305</f>
        <v>0</v>
      </c>
      <c r="C618" s="7">
        <f>$C$305</f>
        <v>0</v>
      </c>
      <c r="D618" s="7">
        <f>$D$305</f>
        <v>0</v>
      </c>
      <c r="E618" s="7">
        <f>$E$305</f>
        <v>0</v>
      </c>
      <c r="F618" s="7">
        <f>$F$305</f>
        <v>0</v>
      </c>
      <c r="G618" s="7">
        <f>$G$305</f>
        <v>0</v>
      </c>
      <c r="H618" s="7">
        <f>$H$305</f>
        <v>0</v>
      </c>
      <c r="I618" s="7">
        <f>$I$305</f>
        <v>0</v>
      </c>
      <c r="J618" s="7">
        <f>$J$305</f>
        <v>0</v>
      </c>
      <c r="K618" s="10"/>
    </row>
    <row r="619" spans="1:11">
      <c r="A619" s="11" t="s">
        <v>216</v>
      </c>
      <c r="B619" s="7">
        <f>$B$558</f>
        <v>0</v>
      </c>
      <c r="C619" s="7">
        <f>$C$558</f>
        <v>0</v>
      </c>
      <c r="D619" s="7">
        <f>$D$558</f>
        <v>0</v>
      </c>
      <c r="E619" s="7">
        <f>$E$558</f>
        <v>0</v>
      </c>
      <c r="F619" s="7">
        <f>$F$558</f>
        <v>0</v>
      </c>
      <c r="G619" s="7">
        <f>$G$558</f>
        <v>0</v>
      </c>
      <c r="H619" s="7">
        <f>$H$558</f>
        <v>0</v>
      </c>
      <c r="I619" s="7">
        <f>$I$558</f>
        <v>0</v>
      </c>
      <c r="J619" s="7">
        <f>$J$558</f>
        <v>0</v>
      </c>
      <c r="K619" s="10"/>
    </row>
  </sheetData>
  <sheetProtection sheet="1" objects="1" scenarios="1"/>
  <hyperlinks>
    <hyperlink ref="A5" location="'Input'!B333" display="x1 = 1068. Typical annual hours by distribution time band"/>
    <hyperlink ref="A6" location="'Input'!F57" display="x2 = 1010. Days in the charging year (in Financial and general assumptions)"/>
    <hyperlink ref="A7" location="'Multi'!B12" display="x3 = Total hours in the year according to time band hours input data (in Adjust annual hours by distribution time band to match days in year)"/>
    <hyperlink ref="A17" location="'Input'!B296" display="x1 = 1061. Average split of rate 1 units by distribution time band"/>
    <hyperlink ref="A18" location="'Multi'!B25" display="x2 = Total split (in Normalisation of split of rate 1 units by time band)"/>
    <hyperlink ref="A19" location="'Multi'!C12" display="x3 = 2401. Annual hours by distribution time band (reconciled to days in year) (in Adjust annual hours by distribution time band to match days in year)"/>
    <hyperlink ref="A20" location="'Input'!F57" display="x4 = 1010. Days in the charging year (in Financial and general assumptions)"/>
    <hyperlink ref="A36" location="'Multi'!C25" display="x1 = 2402. Normalised split of rate 1 units by distribution time band (in Normalisation of split of rate 1 units by time band)"/>
    <hyperlink ref="A57" location="'Input'!B307" display="x1 = 1062. Average split of rate 2 units by distribution time band"/>
    <hyperlink ref="A58" location="'Multi'!B65" display="x2 = Total split (in Normalisation of split of rate 2 units by time band)"/>
    <hyperlink ref="A59" location="'Multi'!C12" display="x3 = 2401. Annual hours by distribution time band (reconciled to days in year) (in Adjust annual hours by distribution time band to match days in year)"/>
    <hyperlink ref="A60" location="'Input'!F57" display="x4 = 1010. Days in the charging year (in Financial and general assumptions)"/>
    <hyperlink ref="A74" location="'Multi'!C65" display="x1 = 2404. Normalised split of rate 2 units by distribution time band (in Normalisation of split of rate 2 units by time band)"/>
    <hyperlink ref="A103" location="'Loads'!B281" display="x1 = 2305. Rate 1 units (MWh) (in Equivalent volume for each end user)"/>
    <hyperlink ref="A104" location="'Loads'!C281" display="x2 = 2305. Rate 2 units (MWh) (in Equivalent volume for each end user)"/>
    <hyperlink ref="A105" location="'Loads'!D281" display="x3 = 2305. Rate 3 units (MWh) (in Equivalent volume for each end user)"/>
    <hyperlink ref="A137" location="'Multi'!B108" display="x1 = 2407. All units (MWh)"/>
    <hyperlink ref="A138" location="'Loads'!B281" display="x2 = 2305. Rate 1 units (MWh) (in Equivalent volume for each end user)"/>
    <hyperlink ref="A139" location="'Multi'!B40" display="x3 = 2403. Split of rate 1 units between distribution time bands"/>
    <hyperlink ref="A140" location="'Loads'!C281" display="x4 = 2305. Rate 2 units (MWh) (in Equivalent volume for each end user)"/>
    <hyperlink ref="A141" location="'Multi'!B78" display="x5 = 2405. Split of rate 2 units between distribution time bands"/>
    <hyperlink ref="A142" location="'Multi'!C12" display="x6 = 2401. Annual hours by distribution time band (reconciled to days in year) (in Adjust annual hours by distribution time band to match days in year)"/>
    <hyperlink ref="A143" location="'Multi'!B149" display="x7 = Use of distribution time bands by units in demand forecast for two-rate tariffs (in Calculation of implied load coefficients for two-rate users)"/>
    <hyperlink ref="A144" location="'Input'!F57" display="x8 = 1010. Days in the charging year (in Financial and general assumptions)"/>
    <hyperlink ref="A158" location="'Multi'!B108" display="x1 = 2407. All units (MWh)"/>
    <hyperlink ref="A159" location="'Loads'!B281" display="x2 = 2305. Rate 1 units (MWh) (in Equivalent volume for each end user)"/>
    <hyperlink ref="A160" location="'Multi'!B40" display="x3 = 2403. Split of rate 1 units between distribution time bands"/>
    <hyperlink ref="A161" location="'Loads'!C281" display="x4 = 2305. Rate 2 units (MWh) (in Equivalent volume for each end user)"/>
    <hyperlink ref="A162" location="'Multi'!B78" display="x5 = 2405. Split of rate 2 units between distribution time bands"/>
    <hyperlink ref="A163" location="'Loads'!D281" display="x6 = 2305. Rate 3 units (MWh) (in Equivalent volume for each end user)"/>
    <hyperlink ref="A164" location="'Multi'!B93" display="x7 = 2406. Split of rate 3 units between distribution time bands (default)"/>
    <hyperlink ref="A165" location="'Multi'!C12" display="x8 = 2401. Annual hours by distribution time band (reconciled to days in year) (in Adjust annual hours by distribution time band to match days in year)"/>
    <hyperlink ref="A166" location="'Multi'!B172" display="x9 = Use of distribution time bands by units in demand forecast for three-rate tariffs (in Calculation of implied load coefficients for three-rate users)"/>
    <hyperlink ref="A167" location="'Input'!F57" display="x10 = 1010. Days in the charging year (in Financial and general assumptions)"/>
    <hyperlink ref="A179" location="'Multi'!E149" display="x1 = 2408. First-time-band load coefficient for two-rate tariffs (in Calculation of implied load coefficients for two-rate users)"/>
    <hyperlink ref="A180" location="'Multi'!E172" display="x2 = 2409. First-time-band load coefficient for three-rate tariffs (in Calculation of implied load coefficients for three-rate users)"/>
    <hyperlink ref="A181" location="'Multi'!B186" display="x3 = First-time-band load coefficient (in Calculation of adjusted time band load coefficients)"/>
    <hyperlink ref="A182" location="'Loads'!B43" display="x4 = 2302. Load coefficient"/>
    <hyperlink ref="A203" location="'Input'!B340" display="x1 = 1069. Red, amber and green peaking probabilities (in Peaking probabilities by network level)"/>
    <hyperlink ref="A204" location="'Multi'!B211" display="x2 = Total probability (should be 100%) (in Normalisation of peaking probabilities)"/>
    <hyperlink ref="A205" location="'Input'!B333" display="x3 = 1068. Typical annual hours by distribution time band"/>
    <hyperlink ref="A206" location="'Multi'!B12" display="x4 = 2401. Total hours in the year according to time band hours input data (in Adjust annual hours by distribution time band to match days in year)"/>
    <hyperlink ref="A224" location="'Multi'!C211" display="x1 = 2411. Normalised peaking probabilities (in Normalisation of peaking probabilities)"/>
    <hyperlink ref="A232" location="'Multi'!C12" display="x1 = 2401. Annual hours by distribution time band (reconciled to days in year) (in Adjust annual hours by distribution time band to match days in year)"/>
    <hyperlink ref="A233" location="'Multi'!C186" display="x2 = 2410. Load coefficient correction factor (kW at peak in band / band average kW) (in Calculation of adjusted time band load coefficients)"/>
    <hyperlink ref="A234" location="'Multi'!B227" display="x3 = 2412. Peaking probabilities by network level (reshaped)"/>
    <hyperlink ref="A235" location="'Input'!F57" display="x4 = 1010. Days in the charging year (in Financial and general assumptions)"/>
    <hyperlink ref="A255" location="'Multi'!B238" display="x1 = 2413. Pseudo load coefficient by time band and network level"/>
    <hyperlink ref="A256" location="'Multi'!B40" display="x2 = 2403. Split of rate 1 units between distribution time bands"/>
    <hyperlink ref="A276" location="'Multi'!B238" display="x1 = 2413. Pseudo load coefficient by time band and network level"/>
    <hyperlink ref="A277" location="'Multi'!B78" display="x2 = 2405. Split of rate 2 units between distribution time bands"/>
    <hyperlink ref="A295" location="'Multi'!B238" display="x1 = 2413. Pseudo load coefficient by time band and network level"/>
    <hyperlink ref="A296" location="'Multi'!B93" display="x2 = 2406. Split of rate 3 units between distribution time bands (default)"/>
    <hyperlink ref="A309" location="'Input'!B326" display="x1 = 1066. Typical annual hours by special distribution time band"/>
    <hyperlink ref="A310" location="'Input'!F57" display="x2 = 1010. Days in the charging year (in Financial and general assumptions)"/>
    <hyperlink ref="A311" location="'Multi'!B316" display="x3 = Total hours in the year according to special time band hours input data (in Adjust annual hours by special distribution time band to match days in year)"/>
    <hyperlink ref="A321" location="'Input'!B316" display="x1 = 1064. Average split of rate 1 units by special distribution time band"/>
    <hyperlink ref="A322" location="'Multi'!B329" display="x2 = Total split (in Normalisation of split of rate 1 units by special time band)"/>
    <hyperlink ref="A323" location="'Multi'!C316" display="x3 = 2417. Annual hours by special distribution time band (reconciled to days in year) (in Adjust annual hours by special distribution time band to match days in year)"/>
    <hyperlink ref="A324" location="'Input'!F57" display="x4 = 1010. Days in the charging year (in Financial and general assumptions)"/>
    <hyperlink ref="A337" location="'Multi'!C329" display="x1 = 2418. Normalised split of rate 1 units by special distribution time band (in Normalisation of split of rate 1 units by special time band)"/>
    <hyperlink ref="A360" location="'Multi'!B108" display="x1 = 2407. All units (MWh)"/>
    <hyperlink ref="A361" location="'Loads'!B281" display="x2 = 2305. Rate 1 units (MWh) (in Equivalent volume for each end user)"/>
    <hyperlink ref="A362" location="'Multi'!B341" display="x3 = 2419. Split of rate 1 units between special distribution time bands"/>
    <hyperlink ref="A363" location="'Multi'!C316" display="x4 = 2417. Annual hours by special distribution time band (reconciled to days in year) (in Adjust annual hours by special distribution time band to match days in year)"/>
    <hyperlink ref="A364" location="'Multi'!B370" display="x5 = Use of special distribution time bands by units in demand forecast for one-rate tariffs (in Calculation of implied special load coefficients for one-rate users)"/>
    <hyperlink ref="A365" location="'Input'!F57" display="x6 = 1010. Days in the charging year (in Financial and general assumptions)"/>
    <hyperlink ref="A378" location="'Multi'!B108" display="x1 = 2407. All units (MWh)"/>
    <hyperlink ref="A379" location="'Loads'!B281" display="x2 = 2305. Rate 1 units (MWh) (in Equivalent volume for each end user)"/>
    <hyperlink ref="A380" location="'Multi'!B341" display="x3 = 2419. Split of rate 1 units between special distribution time bands"/>
    <hyperlink ref="A381" location="'Loads'!C281" display="x4 = 2305. Rate 2 units (MWh) (in Equivalent volume for each end user)"/>
    <hyperlink ref="A382" location="'Multi'!B350" display="x5 = 2420. Split of rate 2 units between special distribution time bands (default)"/>
    <hyperlink ref="A383" location="'Loads'!D281" display="x6 = 2305. Rate 3 units (MWh) (in Equivalent volume for each end user)"/>
    <hyperlink ref="A384" location="'Multi'!B355" display="x7 = 2421. Split of rate 3 units between special distribution time bands (default)"/>
    <hyperlink ref="A385" location="'Multi'!C316" display="x8 = 2417. Annual hours by special distribution time band (reconciled to days in year) (in Adjust annual hours by special distribution time band to match days in year)"/>
    <hyperlink ref="A386" location="'Multi'!B392" display="x9 = Use of special distribution time bands by units in demand forecast for three-rate tariffs (in Calculation of implied special load coefficients for three-rate users)"/>
    <hyperlink ref="A387" location="'Input'!F57" display="x10 = 1010. Days in the charging year (in Financial and general assumptions)"/>
    <hyperlink ref="A397" location="'Multi'!E370" display="x1 = 2422. First-time-band special load coefficient for one-rate tariffs (in Calculation of implied special load coefficients for one-rate users)"/>
    <hyperlink ref="A398" location="'Multi'!E392" display="x2 = 2423. First-time-band special load coefficient for three-rate tariffs (in Calculation of implied special load coefficients for three-rate users)"/>
    <hyperlink ref="A399" location="'Multi'!B406" display="x3 = First-time-band special load coefficient (in Estimated contributions to peak demand)"/>
    <hyperlink ref="A400" location="'Multi'!B108" display="x4 = 2407. All units (MWh)"/>
    <hyperlink ref="A401" location="'Input'!F57" display="x5 = 1010. Days in the charging year (in Financial and general assumptions)"/>
    <hyperlink ref="A402" location="'Loads'!B43" display="x6 = 2302. Load coefficient"/>
    <hyperlink ref="A424" location="'Multi'!B415" display="x1 = 2425. Mapping of tariffs to tariff groups for coincidence adjustment factor"/>
    <hyperlink ref="A425" location="'Multi'!C406" display="x2 = 2424. Contribution to first-band peak kW (in Estimated contributions to peak demand)"/>
    <hyperlink ref="A433" location="'Multi'!B415" display="x1 = 2425. Mapping of tariffs to tariff groups for coincidence adjustment factor"/>
    <hyperlink ref="A434" location="'Multi'!D406" display="x2 = 2424. Contribution to system-peak-time kW (in Estimated contributions to peak demand)"/>
    <hyperlink ref="A442" location="'Multi'!B428" display="x1 = 2426. Group contribution to first-band peak kW"/>
    <hyperlink ref="A443" location="'Multi'!B437" display="x2 = 2427. Group contribution to system-peak-time kW"/>
    <hyperlink ref="A451" location="'Multi'!B415" display="x1 = 2425. Mapping of tariffs to tariff groups for coincidence adjustment factor"/>
    <hyperlink ref="A452" location="'Multi'!B446" display="x2 = 2428. Load coefficient correction factor for each group"/>
    <hyperlink ref="A464" location="'Multi'!C211" display="x1 = 2411. Normalised peaking probabilities (in Normalisation of peaking probabilities)"/>
    <hyperlink ref="A465" location="'Multi'!C477" display="x2 = Amber peaking probabilities (in Calculation of special peaking probabilities)"/>
    <hyperlink ref="A466" location="'Input'!F57" display="x3 = 1010. Days in the charging year (in Financial and general assumptions)"/>
    <hyperlink ref="A467" location="'Multi'!C12" display="x4 = 2401. Annual hours by distribution time band (reconciled to days in year) (in Adjust annual hours by distribution time band to match days in year)"/>
    <hyperlink ref="A468" location="'Input'!E340" display="x5 = 1069. Black peaking probabilities (in Peaking probabilities by network level)"/>
    <hyperlink ref="A469" location="'Multi'!B477" display="x6 = Red peaking probabilities (in Calculation of special peaking probabilities)"/>
    <hyperlink ref="A470" location="'Multi'!E477" display="x7 = Amber peaking rates (in Calculation of special peaking probabilities)"/>
    <hyperlink ref="A471" location="'Multi'!C316" display="x8 = 2417. Annual hours by special distribution time band (reconciled to days in year) (in Adjust annual hours by special distribution time band to match days in year)"/>
    <hyperlink ref="A472" location="'Multi'!F477" display="x9 = Yellow peaking probabilities (in Calculation of special peaking probabilities)"/>
    <hyperlink ref="A473" location="'Multi'!D477" display="x10 = Green peaking probabilities (in Calculation of special peaking probabilities)"/>
    <hyperlink ref="A490" location="'Multi'!D477" display="x1 = 2430. Green peaking probabilities (in Calculation of special peaking probabilities)"/>
    <hyperlink ref="A491" location="'Multi'!F477" display="x2 = 2430. Yellow peaking probabilities (in Calculation of special peaking probabilities)"/>
    <hyperlink ref="A492" location="'Multi'!G477" display="x3 = 2430. Black peaking probabilities (in Calculation of special peaking probabilities)"/>
    <hyperlink ref="A508" location="'Multi'!B495" display="x1 = 2431. Special peaking probabilities by network level"/>
    <hyperlink ref="A516" location="'Multi'!C316" display="x1 = 2417. Annual hours by special distribution time band (reconciled to days in year) (in Adjust annual hours by special distribution time band to match days in year)"/>
    <hyperlink ref="A517" location="'Multi'!B455" display="x2 = 2429. Load coefficient correction factor (based on group)"/>
    <hyperlink ref="A518" location="'Multi'!B511" display="x3 = 2432. Special peaking probabilities by network level (reshaped)"/>
    <hyperlink ref="A519" location="'Input'!F57" display="x4 = 1010. Days in the charging year (in Financial and general assumptions)"/>
    <hyperlink ref="A531" location="'Multi'!B522" display="x1 = 2433. Pseudo load coefficient by time band and network level"/>
    <hyperlink ref="A532" location="'Multi'!B341" display="x2 = 2419. Split of rate 1 units between special distribution time bands"/>
    <hyperlink ref="A544" location="'Multi'!B522" display="x1 = 2433. Pseudo load coefficient by time band and network level"/>
    <hyperlink ref="A545" location="'Multi'!B350" display="x2 = 2420. Split of rate 2 units between special distribution time bands (default)"/>
    <hyperlink ref="A553" location="'Multi'!B522" display="x1 = 2433. Pseudo load coefficient by time band and network level"/>
    <hyperlink ref="A554" location="'Multi'!B355" display="x2 = 2421. Split of rate 3 units between special distribution time bands (default)"/>
    <hyperlink ref="A562" location="'Multi'!B259" display="x1 = 2414. Unit rate 1 pseudo load coefficient by network level"/>
    <hyperlink ref="A563" location="'Multi'!B535" display="x2 = 2434. Unit rate 1 pseudo load coefficient by network level (special)"/>
    <hyperlink ref="A588" location="'Multi'!B280" display="x1 = 2415. Unit rate 2 pseudo load coefficient by network level"/>
    <hyperlink ref="A589" location="'Multi'!B548" display="x2 = 2435. Unit rate 2 pseudo load coefficient by network level (special)"/>
    <hyperlink ref="A608" location="'Multi'!B299" display="x1 = 2416. Unit rate 3 pseudo load coefficient by network level"/>
    <hyperlink ref="A609" location="'Multi'!B557" display="x2 = 2436. Unit rate 3 pseudo load coefficient by network level (special)"/>
  </hyperlinks>
  <pageMargins left="0.7" right="0.7" top="0.75" bottom="0.75" header="0.3" footer="0.3"/>
  <pageSetup fitToHeight="0" orientation="landscape"/>
  <headerFooter>
    <oddHeader>&amp;L&amp;A&amp;Cr6432&amp;R&amp;P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>
      <c r="A1" s="1">
        <f>"Forecast simultaneous maximum load"&amp;" for "&amp;'Input'!B7&amp;" in "&amp;'Input'!C7&amp;" ("&amp;'Input'!D7&amp;")"</f>
        <v>0</v>
      </c>
    </row>
    <row r="3" spans="1:11">
      <c r="A3" s="1" t="s">
        <v>728</v>
      </c>
    </row>
    <row r="4" spans="1:11">
      <c r="A4" s="2" t="s">
        <v>349</v>
      </c>
    </row>
    <row r="5" spans="1:11">
      <c r="A5" s="12" t="s">
        <v>566</v>
      </c>
    </row>
    <row r="6" spans="1:11">
      <c r="A6" s="12" t="s">
        <v>729</v>
      </c>
    </row>
    <row r="7" spans="1:11">
      <c r="A7" s="12" t="s">
        <v>730</v>
      </c>
    </row>
    <row r="8" spans="1:11">
      <c r="A8" s="12" t="s">
        <v>550</v>
      </c>
    </row>
    <row r="9" spans="1:11">
      <c r="A9" s="2" t="s">
        <v>731</v>
      </c>
    </row>
    <row r="11" spans="1:11">
      <c r="B11" s="3" t="s">
        <v>140</v>
      </c>
      <c r="C11" s="3" t="s">
        <v>141</v>
      </c>
      <c r="D11" s="3" t="s">
        <v>142</v>
      </c>
      <c r="E11" s="3" t="s">
        <v>143</v>
      </c>
      <c r="F11" s="3" t="s">
        <v>144</v>
      </c>
      <c r="G11" s="3" t="s">
        <v>149</v>
      </c>
      <c r="H11" s="3" t="s">
        <v>145</v>
      </c>
      <c r="I11" s="3" t="s">
        <v>146</v>
      </c>
      <c r="J11" s="3" t="s">
        <v>147</v>
      </c>
    </row>
    <row r="12" spans="1:11">
      <c r="A12" s="11" t="s">
        <v>210</v>
      </c>
      <c r="B12" s="17">
        <f>('Loads'!$B$284*'Multi'!B$568)*'LAFs'!B$231/(24*'Input'!$F$58)*1000</f>
        <v>0</v>
      </c>
      <c r="C12" s="17">
        <f>('Loads'!$B$284*'Multi'!C$568)*'LAFs'!C$231/(24*'Input'!$F$58)*1000</f>
        <v>0</v>
      </c>
      <c r="D12" s="17">
        <f>('Loads'!$B$284*'Multi'!D$568)*'LAFs'!D$231/(24*'Input'!$F$58)*1000</f>
        <v>0</v>
      </c>
      <c r="E12" s="17">
        <f>('Loads'!$B$284*'Multi'!E$568)*'LAFs'!E$231/(24*'Input'!$F$58)*1000</f>
        <v>0</v>
      </c>
      <c r="F12" s="17">
        <f>('Loads'!$B$284*'Multi'!F$568)*'LAFs'!F$231/(24*'Input'!$F$58)*1000</f>
        <v>0</v>
      </c>
      <c r="G12" s="17">
        <f>('Loads'!$B$284*'Multi'!G$568)*'LAFs'!G$231/(24*'Input'!$F$58)*1000</f>
        <v>0</v>
      </c>
      <c r="H12" s="17">
        <f>('Loads'!$B$284*'Multi'!H$568)*'LAFs'!H$231/(24*'Input'!$F$58)*1000</f>
        <v>0</v>
      </c>
      <c r="I12" s="17">
        <f>('Loads'!$B$284*'Multi'!I$568)*'LAFs'!I$231/(24*'Input'!$F$58)*1000</f>
        <v>0</v>
      </c>
      <c r="J12" s="17">
        <f>('Loads'!$B$284*'Multi'!J$568)*'LAFs'!J$231/(24*'Input'!$F$58)*1000</f>
        <v>0</v>
      </c>
      <c r="K12" s="10"/>
    </row>
    <row r="13" spans="1:11">
      <c r="A13" s="11" t="s">
        <v>211</v>
      </c>
      <c r="B13" s="17">
        <f>('Loads'!$B$287*'Multi'!B$570)*'LAFs'!B$234/(24*'Input'!$F$58)*1000</f>
        <v>0</v>
      </c>
      <c r="C13" s="17">
        <f>('Loads'!$B$287*'Multi'!C$570)*'LAFs'!C$234/(24*'Input'!$F$58)*1000</f>
        <v>0</v>
      </c>
      <c r="D13" s="17">
        <f>('Loads'!$B$287*'Multi'!D$570)*'LAFs'!D$234/(24*'Input'!$F$58)*1000</f>
        <v>0</v>
      </c>
      <c r="E13" s="17">
        <f>('Loads'!$B$287*'Multi'!E$570)*'LAFs'!E$234/(24*'Input'!$F$58)*1000</f>
        <v>0</v>
      </c>
      <c r="F13" s="17">
        <f>('Loads'!$B$287*'Multi'!F$570)*'LAFs'!F$234/(24*'Input'!$F$58)*1000</f>
        <v>0</v>
      </c>
      <c r="G13" s="17">
        <f>('Loads'!$B$287*'Multi'!G$570)*'LAFs'!G$234/(24*'Input'!$F$58)*1000</f>
        <v>0</v>
      </c>
      <c r="H13" s="17">
        <f>('Loads'!$B$287*'Multi'!H$570)*'LAFs'!H$234/(24*'Input'!$F$58)*1000</f>
        <v>0</v>
      </c>
      <c r="I13" s="17">
        <f>('Loads'!$B$287*'Multi'!I$570)*'LAFs'!I$234/(24*'Input'!$F$58)*1000</f>
        <v>0</v>
      </c>
      <c r="J13" s="17">
        <f>('Loads'!$B$287*'Multi'!J$570)*'LAFs'!J$234/(24*'Input'!$F$58)*1000</f>
        <v>0</v>
      </c>
      <c r="K13" s="10"/>
    </row>
    <row r="14" spans="1:11">
      <c r="A14" s="11" t="s">
        <v>212</v>
      </c>
      <c r="B14" s="17">
        <f>('Loads'!$B$294*'Multi'!B$580)*'LAFs'!B$241/(24*'Input'!$F$58)*1000</f>
        <v>0</v>
      </c>
      <c r="C14" s="17">
        <f>('Loads'!$B$294*'Multi'!C$580)*'LAFs'!C$241/(24*'Input'!$F$58)*1000</f>
        <v>0</v>
      </c>
      <c r="D14" s="17">
        <f>('Loads'!$B$294*'Multi'!D$580)*'LAFs'!D$241/(24*'Input'!$F$58)*1000</f>
        <v>0</v>
      </c>
      <c r="E14" s="17">
        <f>('Loads'!$B$294*'Multi'!E$580)*'LAFs'!E$241/(24*'Input'!$F$58)*1000</f>
        <v>0</v>
      </c>
      <c r="F14" s="17">
        <f>('Loads'!$B$294*'Multi'!F$580)*'LAFs'!F$241/(24*'Input'!$F$58)*1000</f>
        <v>0</v>
      </c>
      <c r="G14" s="17">
        <f>('Loads'!$B$294*'Multi'!G$580)*'LAFs'!G$241/(24*'Input'!$F$58)*1000</f>
        <v>0</v>
      </c>
      <c r="H14" s="17">
        <f>('Loads'!$B$294*'Multi'!H$580)*'LAFs'!H$241/(24*'Input'!$F$58)*1000</f>
        <v>0</v>
      </c>
      <c r="I14" s="17">
        <f>('Loads'!$B$294*'Multi'!I$580)*'LAFs'!I$241/(24*'Input'!$F$58)*1000</f>
        <v>0</v>
      </c>
      <c r="J14" s="17">
        <f>('Loads'!$B$294*'Multi'!J$580)*'LAFs'!J$241/(24*'Input'!$F$58)*1000</f>
        <v>0</v>
      </c>
      <c r="K14" s="10"/>
    </row>
    <row r="15" spans="1:11">
      <c r="A15" s="11" t="s">
        <v>213</v>
      </c>
      <c r="B15" s="17">
        <f>('Loads'!$B$295*'Multi'!B$581)*'LAFs'!B$242/(24*'Input'!$F$58)*1000</f>
        <v>0</v>
      </c>
      <c r="C15" s="17">
        <f>('Loads'!$B$295*'Multi'!C$581)*'LAFs'!C$242/(24*'Input'!$F$58)*1000</f>
        <v>0</v>
      </c>
      <c r="D15" s="17">
        <f>('Loads'!$B$295*'Multi'!D$581)*'LAFs'!D$242/(24*'Input'!$F$58)*1000</f>
        <v>0</v>
      </c>
      <c r="E15" s="17">
        <f>('Loads'!$B$295*'Multi'!E$581)*'LAFs'!E$242/(24*'Input'!$F$58)*1000</f>
        <v>0</v>
      </c>
      <c r="F15" s="17">
        <f>('Loads'!$B$295*'Multi'!F$581)*'LAFs'!F$242/(24*'Input'!$F$58)*1000</f>
        <v>0</v>
      </c>
      <c r="G15" s="17">
        <f>('Loads'!$B$295*'Multi'!G$581)*'LAFs'!G$242/(24*'Input'!$F$58)*1000</f>
        <v>0</v>
      </c>
      <c r="H15" s="17">
        <f>('Loads'!$B$295*'Multi'!H$581)*'LAFs'!H$242/(24*'Input'!$F$58)*1000</f>
        <v>0</v>
      </c>
      <c r="I15" s="17">
        <f>('Loads'!$B$295*'Multi'!I$581)*'LAFs'!I$242/(24*'Input'!$F$58)*1000</f>
        <v>0</v>
      </c>
      <c r="J15" s="17">
        <f>('Loads'!$B$295*'Multi'!J$581)*'LAFs'!J$242/(24*'Input'!$F$58)*1000</f>
        <v>0</v>
      </c>
      <c r="K15" s="10"/>
    </row>
    <row r="16" spans="1:11">
      <c r="A16" s="11" t="s">
        <v>214</v>
      </c>
      <c r="B16" s="17">
        <f>('Loads'!$B$296*'Multi'!B$582)*'LAFs'!B$243/(24*'Input'!$F$58)*1000</f>
        <v>0</v>
      </c>
      <c r="C16" s="17">
        <f>('Loads'!$B$296*'Multi'!C$582)*'LAFs'!C$243/(24*'Input'!$F$58)*1000</f>
        <v>0</v>
      </c>
      <c r="D16" s="17">
        <f>('Loads'!$B$296*'Multi'!D$582)*'LAFs'!D$243/(24*'Input'!$F$58)*1000</f>
        <v>0</v>
      </c>
      <c r="E16" s="17">
        <f>('Loads'!$B$296*'Multi'!E$582)*'LAFs'!E$243/(24*'Input'!$F$58)*1000</f>
        <v>0</v>
      </c>
      <c r="F16" s="17">
        <f>('Loads'!$B$296*'Multi'!F$582)*'LAFs'!F$243/(24*'Input'!$F$58)*1000</f>
        <v>0</v>
      </c>
      <c r="G16" s="17">
        <f>('Loads'!$B$296*'Multi'!G$582)*'LAFs'!G$243/(24*'Input'!$F$58)*1000</f>
        <v>0</v>
      </c>
      <c r="H16" s="17">
        <f>('Loads'!$B$296*'Multi'!H$582)*'LAFs'!H$243/(24*'Input'!$F$58)*1000</f>
        <v>0</v>
      </c>
      <c r="I16" s="17">
        <f>('Loads'!$B$296*'Multi'!I$582)*'LAFs'!I$243/(24*'Input'!$F$58)*1000</f>
        <v>0</v>
      </c>
      <c r="J16" s="17">
        <f>('Loads'!$B$296*'Multi'!J$582)*'LAFs'!J$243/(24*'Input'!$F$58)*1000</f>
        <v>0</v>
      </c>
      <c r="K16" s="10"/>
    </row>
    <row r="17" spans="1:11">
      <c r="A17" s="11" t="s">
        <v>215</v>
      </c>
      <c r="B17" s="17">
        <f>('Loads'!$B$297*'Multi'!B$583)*'LAFs'!B$244/(24*'Input'!$F$58)*1000</f>
        <v>0</v>
      </c>
      <c r="C17" s="17">
        <f>('Loads'!$B$297*'Multi'!C$583)*'LAFs'!C$244/(24*'Input'!$F$58)*1000</f>
        <v>0</v>
      </c>
      <c r="D17" s="17">
        <f>('Loads'!$B$297*'Multi'!D$583)*'LAFs'!D$244/(24*'Input'!$F$58)*1000</f>
        <v>0</v>
      </c>
      <c r="E17" s="17">
        <f>('Loads'!$B$297*'Multi'!E$583)*'LAFs'!E$244/(24*'Input'!$F$58)*1000</f>
        <v>0</v>
      </c>
      <c r="F17" s="17">
        <f>('Loads'!$B$297*'Multi'!F$583)*'LAFs'!F$244/(24*'Input'!$F$58)*1000</f>
        <v>0</v>
      </c>
      <c r="G17" s="17">
        <f>('Loads'!$B$297*'Multi'!G$583)*'LAFs'!G$244/(24*'Input'!$F$58)*1000</f>
        <v>0</v>
      </c>
      <c r="H17" s="17">
        <f>('Loads'!$B$297*'Multi'!H$583)*'LAFs'!H$244/(24*'Input'!$F$58)*1000</f>
        <v>0</v>
      </c>
      <c r="I17" s="17">
        <f>('Loads'!$B$297*'Multi'!I$583)*'LAFs'!I$244/(24*'Input'!$F$58)*1000</f>
        <v>0</v>
      </c>
      <c r="J17" s="17">
        <f>('Loads'!$B$297*'Multi'!J$583)*'LAFs'!J$244/(24*'Input'!$F$58)*1000</f>
        <v>0</v>
      </c>
      <c r="K17" s="10"/>
    </row>
    <row r="19" spans="1:11">
      <c r="A19" s="1" t="s">
        <v>732</v>
      </c>
    </row>
    <row r="20" spans="1:11">
      <c r="A20" s="2" t="s">
        <v>349</v>
      </c>
    </row>
    <row r="21" spans="1:11">
      <c r="A21" s="12" t="s">
        <v>566</v>
      </c>
    </row>
    <row r="22" spans="1:11">
      <c r="A22" s="12" t="s">
        <v>729</v>
      </c>
    </row>
    <row r="23" spans="1:11">
      <c r="A23" s="12" t="s">
        <v>733</v>
      </c>
    </row>
    <row r="24" spans="1:11">
      <c r="A24" s="12" t="s">
        <v>734</v>
      </c>
    </row>
    <row r="25" spans="1:11">
      <c r="A25" s="12" t="s">
        <v>735</v>
      </c>
    </row>
    <row r="26" spans="1:11">
      <c r="A26" s="12" t="s">
        <v>646</v>
      </c>
    </row>
    <row r="27" spans="1:11">
      <c r="A27" s="2" t="s">
        <v>736</v>
      </c>
    </row>
    <row r="29" spans="1:11">
      <c r="B29" s="3" t="s">
        <v>140</v>
      </c>
      <c r="C29" s="3" t="s">
        <v>141</v>
      </c>
      <c r="D29" s="3" t="s">
        <v>142</v>
      </c>
      <c r="E29" s="3" t="s">
        <v>143</v>
      </c>
      <c r="F29" s="3" t="s">
        <v>144</v>
      </c>
      <c r="G29" s="3" t="s">
        <v>149</v>
      </c>
      <c r="H29" s="3" t="s">
        <v>145</v>
      </c>
      <c r="I29" s="3" t="s">
        <v>146</v>
      </c>
      <c r="J29" s="3" t="s">
        <v>147</v>
      </c>
    </row>
    <row r="30" spans="1:11">
      <c r="A30" s="11" t="s">
        <v>173</v>
      </c>
      <c r="B30" s="17">
        <f>('Loads'!$B$283*'Multi'!B$567+'Loads'!$C$283*'Multi'!B$593)*'LAFs'!B$230/(24*'Input'!$F$58)*1000</f>
        <v>0</v>
      </c>
      <c r="C30" s="17">
        <f>('Loads'!$B$283*'Multi'!C$567+'Loads'!$C$283*'Multi'!C$593)*'LAFs'!C$230/(24*'Input'!$F$58)*1000</f>
        <v>0</v>
      </c>
      <c r="D30" s="17">
        <f>('Loads'!$B$283*'Multi'!D$567+'Loads'!$C$283*'Multi'!D$593)*'LAFs'!D$230/(24*'Input'!$F$58)*1000</f>
        <v>0</v>
      </c>
      <c r="E30" s="17">
        <f>('Loads'!$B$283*'Multi'!E$567+'Loads'!$C$283*'Multi'!E$593)*'LAFs'!E$230/(24*'Input'!$F$58)*1000</f>
        <v>0</v>
      </c>
      <c r="F30" s="17">
        <f>('Loads'!$B$283*'Multi'!F$567+'Loads'!$C$283*'Multi'!F$593)*'LAFs'!F$230/(24*'Input'!$F$58)*1000</f>
        <v>0</v>
      </c>
      <c r="G30" s="17">
        <f>('Loads'!$B$283*'Multi'!G$567+'Loads'!$C$283*'Multi'!G$593)*'LAFs'!G$230/(24*'Input'!$F$58)*1000</f>
        <v>0</v>
      </c>
      <c r="H30" s="17">
        <f>('Loads'!$B$283*'Multi'!H$567+'Loads'!$C$283*'Multi'!H$593)*'LAFs'!H$230/(24*'Input'!$F$58)*1000</f>
        <v>0</v>
      </c>
      <c r="I30" s="17">
        <f>('Loads'!$B$283*'Multi'!I$567+'Loads'!$C$283*'Multi'!I$593)*'LAFs'!I$230/(24*'Input'!$F$58)*1000</f>
        <v>0</v>
      </c>
      <c r="J30" s="17">
        <f>('Loads'!$B$283*'Multi'!J$567+'Loads'!$C$283*'Multi'!J$593)*'LAFs'!J$230/(24*'Input'!$F$58)*1000</f>
        <v>0</v>
      </c>
      <c r="K30" s="10"/>
    </row>
    <row r="31" spans="1:11">
      <c r="A31" s="11" t="s">
        <v>175</v>
      </c>
      <c r="B31" s="17">
        <f>('Loads'!$B$286*'Multi'!B$569+'Loads'!$C$286*'Multi'!B$594)*'LAFs'!B$233/(24*'Input'!$F$58)*1000</f>
        <v>0</v>
      </c>
      <c r="C31" s="17">
        <f>('Loads'!$B$286*'Multi'!C$569+'Loads'!$C$286*'Multi'!C$594)*'LAFs'!C$233/(24*'Input'!$F$58)*1000</f>
        <v>0</v>
      </c>
      <c r="D31" s="17">
        <f>('Loads'!$B$286*'Multi'!D$569+'Loads'!$C$286*'Multi'!D$594)*'LAFs'!D$233/(24*'Input'!$F$58)*1000</f>
        <v>0</v>
      </c>
      <c r="E31" s="17">
        <f>('Loads'!$B$286*'Multi'!E$569+'Loads'!$C$286*'Multi'!E$594)*'LAFs'!E$233/(24*'Input'!$F$58)*1000</f>
        <v>0</v>
      </c>
      <c r="F31" s="17">
        <f>('Loads'!$B$286*'Multi'!F$569+'Loads'!$C$286*'Multi'!F$594)*'LAFs'!F$233/(24*'Input'!$F$58)*1000</f>
        <v>0</v>
      </c>
      <c r="G31" s="17">
        <f>('Loads'!$B$286*'Multi'!G$569+'Loads'!$C$286*'Multi'!G$594)*'LAFs'!G$233/(24*'Input'!$F$58)*1000</f>
        <v>0</v>
      </c>
      <c r="H31" s="17">
        <f>('Loads'!$B$286*'Multi'!H$569+'Loads'!$C$286*'Multi'!H$594)*'LAFs'!H$233/(24*'Input'!$F$58)*1000</f>
        <v>0</v>
      </c>
      <c r="I31" s="17">
        <f>('Loads'!$B$286*'Multi'!I$569+'Loads'!$C$286*'Multi'!I$594)*'LAFs'!I$233/(24*'Input'!$F$58)*1000</f>
        <v>0</v>
      </c>
      <c r="J31" s="17">
        <f>('Loads'!$B$286*'Multi'!J$569+'Loads'!$C$286*'Multi'!J$594)*'LAFs'!J$233/(24*'Input'!$F$58)*1000</f>
        <v>0</v>
      </c>
      <c r="K31" s="10"/>
    </row>
    <row r="32" spans="1:11">
      <c r="A32" s="11" t="s">
        <v>176</v>
      </c>
      <c r="B32" s="17">
        <f>('Loads'!$B$288*'Multi'!B$571+'Loads'!$C$288*'Multi'!B$595)*'LAFs'!B$235/(24*'Input'!$F$58)*1000</f>
        <v>0</v>
      </c>
      <c r="C32" s="17">
        <f>('Loads'!$B$288*'Multi'!C$571+'Loads'!$C$288*'Multi'!C$595)*'LAFs'!C$235/(24*'Input'!$F$58)*1000</f>
        <v>0</v>
      </c>
      <c r="D32" s="17">
        <f>('Loads'!$B$288*'Multi'!D$571+'Loads'!$C$288*'Multi'!D$595)*'LAFs'!D$235/(24*'Input'!$F$58)*1000</f>
        <v>0</v>
      </c>
      <c r="E32" s="17">
        <f>('Loads'!$B$288*'Multi'!E$571+'Loads'!$C$288*'Multi'!E$595)*'LAFs'!E$235/(24*'Input'!$F$58)*1000</f>
        <v>0</v>
      </c>
      <c r="F32" s="17">
        <f>('Loads'!$B$288*'Multi'!F$571+'Loads'!$C$288*'Multi'!F$595)*'LAFs'!F$235/(24*'Input'!$F$58)*1000</f>
        <v>0</v>
      </c>
      <c r="G32" s="17">
        <f>('Loads'!$B$288*'Multi'!G$571+'Loads'!$C$288*'Multi'!G$595)*'LAFs'!G$235/(24*'Input'!$F$58)*1000</f>
        <v>0</v>
      </c>
      <c r="H32" s="17">
        <f>('Loads'!$B$288*'Multi'!H$571+'Loads'!$C$288*'Multi'!H$595)*'LAFs'!H$235/(24*'Input'!$F$58)*1000</f>
        <v>0</v>
      </c>
      <c r="I32" s="17">
        <f>('Loads'!$B$288*'Multi'!I$571+'Loads'!$C$288*'Multi'!I$595)*'LAFs'!I$235/(24*'Input'!$F$58)*1000</f>
        <v>0</v>
      </c>
      <c r="J32" s="17">
        <f>('Loads'!$B$288*'Multi'!J$571+'Loads'!$C$288*'Multi'!J$595)*'LAFs'!J$235/(24*'Input'!$F$58)*1000</f>
        <v>0</v>
      </c>
      <c r="K32" s="10"/>
    </row>
    <row r="33" spans="1:11">
      <c r="A33" s="11" t="s">
        <v>177</v>
      </c>
      <c r="B33" s="17">
        <f>('Loads'!$B$289*'Multi'!B$572+'Loads'!$C$289*'Multi'!B$596)*'LAFs'!B$236/(24*'Input'!$F$58)*1000</f>
        <v>0</v>
      </c>
      <c r="C33" s="17">
        <f>('Loads'!$B$289*'Multi'!C$572+'Loads'!$C$289*'Multi'!C$596)*'LAFs'!C$236/(24*'Input'!$F$58)*1000</f>
        <v>0</v>
      </c>
      <c r="D33" s="17">
        <f>('Loads'!$B$289*'Multi'!D$572+'Loads'!$C$289*'Multi'!D$596)*'LAFs'!D$236/(24*'Input'!$F$58)*1000</f>
        <v>0</v>
      </c>
      <c r="E33" s="17">
        <f>('Loads'!$B$289*'Multi'!E$572+'Loads'!$C$289*'Multi'!E$596)*'LAFs'!E$236/(24*'Input'!$F$58)*1000</f>
        <v>0</v>
      </c>
      <c r="F33" s="17">
        <f>('Loads'!$B$289*'Multi'!F$572+'Loads'!$C$289*'Multi'!F$596)*'LAFs'!F$236/(24*'Input'!$F$58)*1000</f>
        <v>0</v>
      </c>
      <c r="G33" s="17">
        <f>('Loads'!$B$289*'Multi'!G$572+'Loads'!$C$289*'Multi'!G$596)*'LAFs'!G$236/(24*'Input'!$F$58)*1000</f>
        <v>0</v>
      </c>
      <c r="H33" s="17">
        <f>('Loads'!$B$289*'Multi'!H$572+'Loads'!$C$289*'Multi'!H$596)*'LAFs'!H$236/(24*'Input'!$F$58)*1000</f>
        <v>0</v>
      </c>
      <c r="I33" s="17">
        <f>('Loads'!$B$289*'Multi'!I$572+'Loads'!$C$289*'Multi'!I$596)*'LAFs'!I$236/(24*'Input'!$F$58)*1000</f>
        <v>0</v>
      </c>
      <c r="J33" s="17">
        <f>('Loads'!$B$289*'Multi'!J$572+'Loads'!$C$289*'Multi'!J$596)*'LAFs'!J$236/(24*'Input'!$F$58)*1000</f>
        <v>0</v>
      </c>
      <c r="K33" s="10"/>
    </row>
    <row r="34" spans="1:11">
      <c r="A34" s="11" t="s">
        <v>191</v>
      </c>
      <c r="B34" s="17">
        <f>('Loads'!$B$290*'Multi'!B$573+'Loads'!$C$290*'Multi'!B$597)*'LAFs'!B$237/(24*'Input'!$F$58)*1000</f>
        <v>0</v>
      </c>
      <c r="C34" s="17">
        <f>('Loads'!$B$290*'Multi'!C$573+'Loads'!$C$290*'Multi'!C$597)*'LAFs'!C$237/(24*'Input'!$F$58)*1000</f>
        <v>0</v>
      </c>
      <c r="D34" s="17">
        <f>('Loads'!$B$290*'Multi'!D$573+'Loads'!$C$290*'Multi'!D$597)*'LAFs'!D$237/(24*'Input'!$F$58)*1000</f>
        <v>0</v>
      </c>
      <c r="E34" s="17">
        <f>('Loads'!$B$290*'Multi'!E$573+'Loads'!$C$290*'Multi'!E$597)*'LAFs'!E$237/(24*'Input'!$F$58)*1000</f>
        <v>0</v>
      </c>
      <c r="F34" s="17">
        <f>('Loads'!$B$290*'Multi'!F$573+'Loads'!$C$290*'Multi'!F$597)*'LAFs'!F$237/(24*'Input'!$F$58)*1000</f>
        <v>0</v>
      </c>
      <c r="G34" s="17">
        <f>('Loads'!$B$290*'Multi'!G$573+'Loads'!$C$290*'Multi'!G$597)*'LAFs'!G$237/(24*'Input'!$F$58)*1000</f>
        <v>0</v>
      </c>
      <c r="H34" s="17">
        <f>('Loads'!$B$290*'Multi'!H$573+'Loads'!$C$290*'Multi'!H$597)*'LAFs'!H$237/(24*'Input'!$F$58)*1000</f>
        <v>0</v>
      </c>
      <c r="I34" s="17">
        <f>('Loads'!$B$290*'Multi'!I$573+'Loads'!$C$290*'Multi'!I$597)*'LAFs'!I$237/(24*'Input'!$F$58)*1000</f>
        <v>0</v>
      </c>
      <c r="J34" s="17">
        <f>('Loads'!$B$290*'Multi'!J$573+'Loads'!$C$290*'Multi'!J$597)*'LAFs'!J$237/(24*'Input'!$F$58)*1000</f>
        <v>0</v>
      </c>
      <c r="K34" s="10"/>
    </row>
    <row r="36" spans="1:11">
      <c r="A36" s="1" t="s">
        <v>737</v>
      </c>
    </row>
    <row r="37" spans="1:11">
      <c r="A37" s="2" t="s">
        <v>349</v>
      </c>
    </row>
    <row r="38" spans="1:11">
      <c r="A38" s="12" t="s">
        <v>566</v>
      </c>
    </row>
    <row r="39" spans="1:11">
      <c r="A39" s="12" t="s">
        <v>729</v>
      </c>
    </row>
    <row r="40" spans="1:11">
      <c r="A40" s="12" t="s">
        <v>733</v>
      </c>
    </row>
    <row r="41" spans="1:11">
      <c r="A41" s="12" t="s">
        <v>734</v>
      </c>
    </row>
    <row r="42" spans="1:11">
      <c r="A42" s="12" t="s">
        <v>738</v>
      </c>
    </row>
    <row r="43" spans="1:11">
      <c r="A43" s="12" t="s">
        <v>739</v>
      </c>
    </row>
    <row r="44" spans="1:11">
      <c r="A44" s="12" t="s">
        <v>740</v>
      </c>
    </row>
    <row r="45" spans="1:11">
      <c r="A45" s="12" t="s">
        <v>579</v>
      </c>
    </row>
    <row r="46" spans="1:11">
      <c r="A46" s="2" t="s">
        <v>741</v>
      </c>
    </row>
    <row r="48" spans="1:11">
      <c r="B48" s="3" t="s">
        <v>140</v>
      </c>
      <c r="C48" s="3" t="s">
        <v>141</v>
      </c>
      <c r="D48" s="3" t="s">
        <v>142</v>
      </c>
      <c r="E48" s="3" t="s">
        <v>143</v>
      </c>
      <c r="F48" s="3" t="s">
        <v>144</v>
      </c>
      <c r="G48" s="3" t="s">
        <v>149</v>
      </c>
      <c r="H48" s="3" t="s">
        <v>145</v>
      </c>
      <c r="I48" s="3" t="s">
        <v>146</v>
      </c>
      <c r="J48" s="3" t="s">
        <v>147</v>
      </c>
    </row>
    <row r="49" spans="1:11">
      <c r="A49" s="11" t="s">
        <v>178</v>
      </c>
      <c r="B49" s="17">
        <f>('Loads'!$B$291*'Multi'!B$574+'Loads'!$C$291*'Multi'!B$598+'Loads'!$D$291*'Multi'!B$613)*'LAFs'!B$238/(24*'Input'!$F$58)*1000</f>
        <v>0</v>
      </c>
      <c r="C49" s="17">
        <f>('Loads'!$B$291*'Multi'!C$574+'Loads'!$C$291*'Multi'!C$598+'Loads'!$D$291*'Multi'!C$613)*'LAFs'!C$238/(24*'Input'!$F$58)*1000</f>
        <v>0</v>
      </c>
      <c r="D49" s="17">
        <f>('Loads'!$B$291*'Multi'!D$574+'Loads'!$C$291*'Multi'!D$598+'Loads'!$D$291*'Multi'!D$613)*'LAFs'!D$238/(24*'Input'!$F$58)*1000</f>
        <v>0</v>
      </c>
      <c r="E49" s="17">
        <f>('Loads'!$B$291*'Multi'!E$574+'Loads'!$C$291*'Multi'!E$598+'Loads'!$D$291*'Multi'!E$613)*'LAFs'!E$238/(24*'Input'!$F$58)*1000</f>
        <v>0</v>
      </c>
      <c r="F49" s="17">
        <f>('Loads'!$B$291*'Multi'!F$574+'Loads'!$C$291*'Multi'!F$598+'Loads'!$D$291*'Multi'!F$613)*'LAFs'!F$238/(24*'Input'!$F$58)*1000</f>
        <v>0</v>
      </c>
      <c r="G49" s="17">
        <f>('Loads'!$B$291*'Multi'!G$574+'Loads'!$C$291*'Multi'!G$598+'Loads'!$D$291*'Multi'!G$613)*'LAFs'!G$238/(24*'Input'!$F$58)*1000</f>
        <v>0</v>
      </c>
      <c r="H49" s="17">
        <f>('Loads'!$B$291*'Multi'!H$574+'Loads'!$C$291*'Multi'!H$598+'Loads'!$D$291*'Multi'!H$613)*'LAFs'!H$238/(24*'Input'!$F$58)*1000</f>
        <v>0</v>
      </c>
      <c r="I49" s="17">
        <f>('Loads'!$B$291*'Multi'!I$574+'Loads'!$C$291*'Multi'!I$598+'Loads'!$D$291*'Multi'!I$613)*'LAFs'!I$238/(24*'Input'!$F$58)*1000</f>
        <v>0</v>
      </c>
      <c r="J49" s="17">
        <f>('Loads'!$B$291*'Multi'!J$574+'Loads'!$C$291*'Multi'!J$598+'Loads'!$D$291*'Multi'!J$613)*'LAFs'!J$238/(24*'Input'!$F$58)*1000</f>
        <v>0</v>
      </c>
      <c r="K49" s="10"/>
    </row>
    <row r="50" spans="1:11">
      <c r="A50" s="11" t="s">
        <v>179</v>
      </c>
      <c r="B50" s="17">
        <f>('Loads'!$B$292*'Multi'!B$575+'Loads'!$C$292*'Multi'!B$599+'Loads'!$D$292*'Multi'!B$614)*'LAFs'!B$239/(24*'Input'!$F$58)*1000</f>
        <v>0</v>
      </c>
      <c r="C50" s="17">
        <f>('Loads'!$B$292*'Multi'!C$575+'Loads'!$C$292*'Multi'!C$599+'Loads'!$D$292*'Multi'!C$614)*'LAFs'!C$239/(24*'Input'!$F$58)*1000</f>
        <v>0</v>
      </c>
      <c r="D50" s="17">
        <f>('Loads'!$B$292*'Multi'!D$575+'Loads'!$C$292*'Multi'!D$599+'Loads'!$D$292*'Multi'!D$614)*'LAFs'!D$239/(24*'Input'!$F$58)*1000</f>
        <v>0</v>
      </c>
      <c r="E50" s="17">
        <f>('Loads'!$B$292*'Multi'!E$575+'Loads'!$C$292*'Multi'!E$599+'Loads'!$D$292*'Multi'!E$614)*'LAFs'!E$239/(24*'Input'!$F$58)*1000</f>
        <v>0</v>
      </c>
      <c r="F50" s="17">
        <f>('Loads'!$B$292*'Multi'!F$575+'Loads'!$C$292*'Multi'!F$599+'Loads'!$D$292*'Multi'!F$614)*'LAFs'!F$239/(24*'Input'!$F$58)*1000</f>
        <v>0</v>
      </c>
      <c r="G50" s="17">
        <f>('Loads'!$B$292*'Multi'!G$575+'Loads'!$C$292*'Multi'!G$599+'Loads'!$D$292*'Multi'!G$614)*'LAFs'!G$239/(24*'Input'!$F$58)*1000</f>
        <v>0</v>
      </c>
      <c r="H50" s="17">
        <f>('Loads'!$B$292*'Multi'!H$575+'Loads'!$C$292*'Multi'!H$599+'Loads'!$D$292*'Multi'!H$614)*'LAFs'!H$239/(24*'Input'!$F$58)*1000</f>
        <v>0</v>
      </c>
      <c r="I50" s="17">
        <f>('Loads'!$B$292*'Multi'!I$575+'Loads'!$C$292*'Multi'!I$599+'Loads'!$D$292*'Multi'!I$614)*'LAFs'!I$239/(24*'Input'!$F$58)*1000</f>
        <v>0</v>
      </c>
      <c r="J50" s="17">
        <f>('Loads'!$B$292*'Multi'!J$575+'Loads'!$C$292*'Multi'!J$599+'Loads'!$D$292*'Multi'!J$614)*'LAFs'!J$239/(24*'Input'!$F$58)*1000</f>
        <v>0</v>
      </c>
      <c r="K50" s="10"/>
    </row>
    <row r="51" spans="1:11">
      <c r="A51" s="11" t="s">
        <v>192</v>
      </c>
      <c r="B51" s="17">
        <f>('Loads'!$B$293*'Multi'!B$576+'Loads'!$C$293*'Multi'!B$600+'Loads'!$D$293*'Multi'!B$615)*'LAFs'!B$240/(24*'Input'!$F$58)*1000</f>
        <v>0</v>
      </c>
      <c r="C51" s="17">
        <f>('Loads'!$B$293*'Multi'!C$576+'Loads'!$C$293*'Multi'!C$600+'Loads'!$D$293*'Multi'!C$615)*'LAFs'!C$240/(24*'Input'!$F$58)*1000</f>
        <v>0</v>
      </c>
      <c r="D51" s="17">
        <f>('Loads'!$B$293*'Multi'!D$576+'Loads'!$C$293*'Multi'!D$600+'Loads'!$D$293*'Multi'!D$615)*'LAFs'!D$240/(24*'Input'!$F$58)*1000</f>
        <v>0</v>
      </c>
      <c r="E51" s="17">
        <f>('Loads'!$B$293*'Multi'!E$576+'Loads'!$C$293*'Multi'!E$600+'Loads'!$D$293*'Multi'!E$615)*'LAFs'!E$240/(24*'Input'!$F$58)*1000</f>
        <v>0</v>
      </c>
      <c r="F51" s="17">
        <f>('Loads'!$B$293*'Multi'!F$576+'Loads'!$C$293*'Multi'!F$600+'Loads'!$D$293*'Multi'!F$615)*'LAFs'!F$240/(24*'Input'!$F$58)*1000</f>
        <v>0</v>
      </c>
      <c r="G51" s="17">
        <f>('Loads'!$B$293*'Multi'!G$576+'Loads'!$C$293*'Multi'!G$600+'Loads'!$D$293*'Multi'!G$615)*'LAFs'!G$240/(24*'Input'!$F$58)*1000</f>
        <v>0</v>
      </c>
      <c r="H51" s="17">
        <f>('Loads'!$B$293*'Multi'!H$576+'Loads'!$C$293*'Multi'!H$600+'Loads'!$D$293*'Multi'!H$615)*'LAFs'!H$240/(24*'Input'!$F$58)*1000</f>
        <v>0</v>
      </c>
      <c r="I51" s="17">
        <f>('Loads'!$B$293*'Multi'!I$576+'Loads'!$C$293*'Multi'!I$600+'Loads'!$D$293*'Multi'!I$615)*'LAFs'!I$240/(24*'Input'!$F$58)*1000</f>
        <v>0</v>
      </c>
      <c r="J51" s="17">
        <f>('Loads'!$B$293*'Multi'!J$576+'Loads'!$C$293*'Multi'!J$600+'Loads'!$D$293*'Multi'!J$615)*'LAFs'!J$240/(24*'Input'!$F$58)*1000</f>
        <v>0</v>
      </c>
      <c r="K51" s="10"/>
    </row>
    <row r="52" spans="1:11">
      <c r="A52" s="11" t="s">
        <v>183</v>
      </c>
      <c r="B52" s="17">
        <f>('Loads'!$B$302*'Multi'!B$577+'Loads'!$C$302*'Multi'!B$601+'Loads'!$D$302*'Multi'!B$616)*'LAFs'!B$249/(24*'Input'!$F$58)*1000</f>
        <v>0</v>
      </c>
      <c r="C52" s="17">
        <f>('Loads'!$B$302*'Multi'!C$577+'Loads'!$C$302*'Multi'!C$601+'Loads'!$D$302*'Multi'!C$616)*'LAFs'!C$249/(24*'Input'!$F$58)*1000</f>
        <v>0</v>
      </c>
      <c r="D52" s="17">
        <f>('Loads'!$B$302*'Multi'!D$577+'Loads'!$C$302*'Multi'!D$601+'Loads'!$D$302*'Multi'!D$616)*'LAFs'!D$249/(24*'Input'!$F$58)*1000</f>
        <v>0</v>
      </c>
      <c r="E52" s="17">
        <f>('Loads'!$B$302*'Multi'!E$577+'Loads'!$C$302*'Multi'!E$601+'Loads'!$D$302*'Multi'!E$616)*'LAFs'!E$249/(24*'Input'!$F$58)*1000</f>
        <v>0</v>
      </c>
      <c r="F52" s="17">
        <f>('Loads'!$B$302*'Multi'!F$577+'Loads'!$C$302*'Multi'!F$601+'Loads'!$D$302*'Multi'!F$616)*'LAFs'!F$249/(24*'Input'!$F$58)*1000</f>
        <v>0</v>
      </c>
      <c r="G52" s="17">
        <f>('Loads'!$B$302*'Multi'!G$577+'Loads'!$C$302*'Multi'!G$601+'Loads'!$D$302*'Multi'!G$616)*'LAFs'!G$249/(24*'Input'!$F$58)*1000</f>
        <v>0</v>
      </c>
      <c r="H52" s="17">
        <f>('Loads'!$B$302*'Multi'!H$577+'Loads'!$C$302*'Multi'!H$601+'Loads'!$D$302*'Multi'!H$616)*'LAFs'!H$249/(24*'Input'!$F$58)*1000</f>
        <v>0</v>
      </c>
      <c r="I52" s="17">
        <f>('Loads'!$B$302*'Multi'!I$577+'Loads'!$C$302*'Multi'!I$601+'Loads'!$D$302*'Multi'!I$616)*'LAFs'!I$249/(24*'Input'!$F$58)*1000</f>
        <v>0</v>
      </c>
      <c r="J52" s="17">
        <f>('Loads'!$B$302*'Multi'!J$577+'Loads'!$C$302*'Multi'!J$601+'Loads'!$D$302*'Multi'!J$616)*'LAFs'!J$249/(24*'Input'!$F$58)*1000</f>
        <v>0</v>
      </c>
      <c r="K52" s="10"/>
    </row>
    <row r="53" spans="1:11">
      <c r="A53" s="11" t="s">
        <v>185</v>
      </c>
      <c r="B53" s="17">
        <f>('Loads'!$B$304*'Multi'!B$578+'Loads'!$C$304*'Multi'!B$602+'Loads'!$D$304*'Multi'!B$617)*'LAFs'!B$251/(24*'Input'!$F$58)*1000</f>
        <v>0</v>
      </c>
      <c r="C53" s="17">
        <f>('Loads'!$B$304*'Multi'!C$578+'Loads'!$C$304*'Multi'!C$602+'Loads'!$D$304*'Multi'!C$617)*'LAFs'!C$251/(24*'Input'!$F$58)*1000</f>
        <v>0</v>
      </c>
      <c r="D53" s="17">
        <f>('Loads'!$B$304*'Multi'!D$578+'Loads'!$C$304*'Multi'!D$602+'Loads'!$D$304*'Multi'!D$617)*'LAFs'!D$251/(24*'Input'!$F$58)*1000</f>
        <v>0</v>
      </c>
      <c r="E53" s="17">
        <f>('Loads'!$B$304*'Multi'!E$578+'Loads'!$C$304*'Multi'!E$602+'Loads'!$D$304*'Multi'!E$617)*'LAFs'!E$251/(24*'Input'!$F$58)*1000</f>
        <v>0</v>
      </c>
      <c r="F53" s="17">
        <f>('Loads'!$B$304*'Multi'!F$578+'Loads'!$C$304*'Multi'!F$602+'Loads'!$D$304*'Multi'!F$617)*'LAFs'!F$251/(24*'Input'!$F$58)*1000</f>
        <v>0</v>
      </c>
      <c r="G53" s="17">
        <f>('Loads'!$B$304*'Multi'!G$578+'Loads'!$C$304*'Multi'!G$602+'Loads'!$D$304*'Multi'!G$617)*'LAFs'!G$251/(24*'Input'!$F$58)*1000</f>
        <v>0</v>
      </c>
      <c r="H53" s="17">
        <f>('Loads'!$B$304*'Multi'!H$578+'Loads'!$C$304*'Multi'!H$602+'Loads'!$D$304*'Multi'!H$617)*'LAFs'!H$251/(24*'Input'!$F$58)*1000</f>
        <v>0</v>
      </c>
      <c r="I53" s="17">
        <f>('Loads'!$B$304*'Multi'!I$578+'Loads'!$C$304*'Multi'!I$602+'Loads'!$D$304*'Multi'!I$617)*'LAFs'!I$251/(24*'Input'!$F$58)*1000</f>
        <v>0</v>
      </c>
      <c r="J53" s="17">
        <f>('Loads'!$B$304*'Multi'!J$578+'Loads'!$C$304*'Multi'!J$602+'Loads'!$D$304*'Multi'!J$617)*'LAFs'!J$251/(24*'Input'!$F$58)*1000</f>
        <v>0</v>
      </c>
      <c r="K53" s="10"/>
    </row>
    <row r="54" spans="1:11">
      <c r="A54" s="11" t="s">
        <v>194</v>
      </c>
      <c r="B54" s="17">
        <f>('Loads'!$B$306*'Multi'!B$579+'Loads'!$C$306*'Multi'!B$603+'Loads'!$D$306*'Multi'!B$618)*'LAFs'!B$253/(24*'Input'!$F$58)*1000</f>
        <v>0</v>
      </c>
      <c r="C54" s="17">
        <f>('Loads'!$B$306*'Multi'!C$579+'Loads'!$C$306*'Multi'!C$603+'Loads'!$D$306*'Multi'!C$618)*'LAFs'!C$253/(24*'Input'!$F$58)*1000</f>
        <v>0</v>
      </c>
      <c r="D54" s="17">
        <f>('Loads'!$B$306*'Multi'!D$579+'Loads'!$C$306*'Multi'!D$603+'Loads'!$D$306*'Multi'!D$618)*'LAFs'!D$253/(24*'Input'!$F$58)*1000</f>
        <v>0</v>
      </c>
      <c r="E54" s="17">
        <f>('Loads'!$B$306*'Multi'!E$579+'Loads'!$C$306*'Multi'!E$603+'Loads'!$D$306*'Multi'!E$618)*'LAFs'!E$253/(24*'Input'!$F$58)*1000</f>
        <v>0</v>
      </c>
      <c r="F54" s="17">
        <f>('Loads'!$B$306*'Multi'!F$579+'Loads'!$C$306*'Multi'!F$603+'Loads'!$D$306*'Multi'!F$618)*'LAFs'!F$253/(24*'Input'!$F$58)*1000</f>
        <v>0</v>
      </c>
      <c r="G54" s="17">
        <f>('Loads'!$B$306*'Multi'!G$579+'Loads'!$C$306*'Multi'!G$603+'Loads'!$D$306*'Multi'!G$618)*'LAFs'!G$253/(24*'Input'!$F$58)*1000</f>
        <v>0</v>
      </c>
      <c r="H54" s="17">
        <f>('Loads'!$B$306*'Multi'!H$579+'Loads'!$C$306*'Multi'!H$603+'Loads'!$D$306*'Multi'!H$618)*'LAFs'!H$253/(24*'Input'!$F$58)*1000</f>
        <v>0</v>
      </c>
      <c r="I54" s="17">
        <f>('Loads'!$B$306*'Multi'!I$579+'Loads'!$C$306*'Multi'!I$603+'Loads'!$D$306*'Multi'!I$618)*'LAFs'!I$253/(24*'Input'!$F$58)*1000</f>
        <v>0</v>
      </c>
      <c r="J54" s="17">
        <f>('Loads'!$B$306*'Multi'!J$579+'Loads'!$C$306*'Multi'!J$603+'Loads'!$D$306*'Multi'!J$618)*'LAFs'!J$253/(24*'Input'!$F$58)*1000</f>
        <v>0</v>
      </c>
      <c r="K54" s="10"/>
    </row>
    <row r="55" spans="1:11">
      <c r="A55" s="11" t="s">
        <v>216</v>
      </c>
      <c r="B55" s="17">
        <f>('Loads'!$B$298*'Multi'!B$584+'Loads'!$C$298*'Multi'!B$604+'Loads'!$D$298*'Multi'!B$619)*'LAFs'!B$245/(24*'Input'!$F$58)*1000</f>
        <v>0</v>
      </c>
      <c r="C55" s="17">
        <f>('Loads'!$B$298*'Multi'!C$584+'Loads'!$C$298*'Multi'!C$604+'Loads'!$D$298*'Multi'!C$619)*'LAFs'!C$245/(24*'Input'!$F$58)*1000</f>
        <v>0</v>
      </c>
      <c r="D55" s="17">
        <f>('Loads'!$B$298*'Multi'!D$584+'Loads'!$C$298*'Multi'!D$604+'Loads'!$D$298*'Multi'!D$619)*'LAFs'!D$245/(24*'Input'!$F$58)*1000</f>
        <v>0</v>
      </c>
      <c r="E55" s="17">
        <f>('Loads'!$B$298*'Multi'!E$584+'Loads'!$C$298*'Multi'!E$604+'Loads'!$D$298*'Multi'!E$619)*'LAFs'!E$245/(24*'Input'!$F$58)*1000</f>
        <v>0</v>
      </c>
      <c r="F55" s="17">
        <f>('Loads'!$B$298*'Multi'!F$584+'Loads'!$C$298*'Multi'!F$604+'Loads'!$D$298*'Multi'!F$619)*'LAFs'!F$245/(24*'Input'!$F$58)*1000</f>
        <v>0</v>
      </c>
      <c r="G55" s="17">
        <f>('Loads'!$B$298*'Multi'!G$584+'Loads'!$C$298*'Multi'!G$604+'Loads'!$D$298*'Multi'!G$619)*'LAFs'!G$245/(24*'Input'!$F$58)*1000</f>
        <v>0</v>
      </c>
      <c r="H55" s="17">
        <f>('Loads'!$B$298*'Multi'!H$584+'Loads'!$C$298*'Multi'!H$604+'Loads'!$D$298*'Multi'!H$619)*'LAFs'!H$245/(24*'Input'!$F$58)*1000</f>
        <v>0</v>
      </c>
      <c r="I55" s="17">
        <f>('Loads'!$B$298*'Multi'!I$584+'Loads'!$C$298*'Multi'!I$604+'Loads'!$D$298*'Multi'!I$619)*'LAFs'!I$245/(24*'Input'!$F$58)*1000</f>
        <v>0</v>
      </c>
      <c r="J55" s="17">
        <f>('Loads'!$B$298*'Multi'!J$584+'Loads'!$C$298*'Multi'!J$604+'Loads'!$D$298*'Multi'!J$619)*'LAFs'!J$245/(24*'Input'!$F$58)*1000</f>
        <v>0</v>
      </c>
      <c r="K55" s="10"/>
    </row>
    <row r="57" spans="1:11">
      <c r="A57" s="1" t="s">
        <v>742</v>
      </c>
    </row>
    <row r="58" spans="1:11">
      <c r="A58" s="2" t="s">
        <v>349</v>
      </c>
    </row>
    <row r="59" spans="1:11">
      <c r="A59" s="12" t="s">
        <v>572</v>
      </c>
    </row>
    <row r="60" spans="1:11">
      <c r="A60" s="12" t="s">
        <v>743</v>
      </c>
    </row>
    <row r="61" spans="1:11">
      <c r="A61" s="12" t="s">
        <v>730</v>
      </c>
    </row>
    <row r="62" spans="1:11">
      <c r="A62" s="12" t="s">
        <v>550</v>
      </c>
    </row>
    <row r="63" spans="1:11">
      <c r="A63" s="2" t="s">
        <v>744</v>
      </c>
    </row>
    <row r="65" spans="1:11">
      <c r="B65" s="3" t="s">
        <v>140</v>
      </c>
      <c r="C65" s="3" t="s">
        <v>141</v>
      </c>
      <c r="D65" s="3" t="s">
        <v>142</v>
      </c>
      <c r="E65" s="3" t="s">
        <v>143</v>
      </c>
      <c r="F65" s="3" t="s">
        <v>144</v>
      </c>
      <c r="G65" s="3" t="s">
        <v>149</v>
      </c>
      <c r="H65" s="3" t="s">
        <v>145</v>
      </c>
      <c r="I65" s="3" t="s">
        <v>146</v>
      </c>
      <c r="J65" s="3" t="s">
        <v>147</v>
      </c>
    </row>
    <row r="66" spans="1:11">
      <c r="A66" s="11" t="s">
        <v>172</v>
      </c>
      <c r="B66" s="17">
        <f>'Multi'!$B109*'Loads'!$B44*'LAFs'!B229/(24*'Input'!$F$58)*1000</f>
        <v>0</v>
      </c>
      <c r="C66" s="17">
        <f>'Multi'!$B109*'Loads'!$B44*'LAFs'!C229/(24*'Input'!$F$58)*1000</f>
        <v>0</v>
      </c>
      <c r="D66" s="17">
        <f>'Multi'!$B109*'Loads'!$B44*'LAFs'!D229/(24*'Input'!$F$58)*1000</f>
        <v>0</v>
      </c>
      <c r="E66" s="17">
        <f>'Multi'!$B109*'Loads'!$B44*'LAFs'!E229/(24*'Input'!$F$58)*1000</f>
        <v>0</v>
      </c>
      <c r="F66" s="17">
        <f>'Multi'!$B109*'Loads'!$B44*'LAFs'!F229/(24*'Input'!$F$58)*1000</f>
        <v>0</v>
      </c>
      <c r="G66" s="17">
        <f>'Multi'!$B109*'Loads'!$B44*'LAFs'!G229/(24*'Input'!$F$58)*1000</f>
        <v>0</v>
      </c>
      <c r="H66" s="17">
        <f>'Multi'!$B109*'Loads'!$B44*'LAFs'!H229/(24*'Input'!$F$58)*1000</f>
        <v>0</v>
      </c>
      <c r="I66" s="17">
        <f>'Multi'!$B109*'Loads'!$B44*'LAFs'!I229/(24*'Input'!$F$58)*1000</f>
        <v>0</v>
      </c>
      <c r="J66" s="17">
        <f>'Multi'!$B109*'Loads'!$B44*'LAFs'!J229/(24*'Input'!$F$58)*1000</f>
        <v>0</v>
      </c>
      <c r="K66" s="10"/>
    </row>
    <row r="67" spans="1:11">
      <c r="A67" s="11" t="s">
        <v>173</v>
      </c>
      <c r="B67" s="17">
        <f>'Multi'!$B110*'Loads'!$B45*'LAFs'!B230/(24*'Input'!$F$58)*1000</f>
        <v>0</v>
      </c>
      <c r="C67" s="17">
        <f>'Multi'!$B110*'Loads'!$B45*'LAFs'!C230/(24*'Input'!$F$58)*1000</f>
        <v>0</v>
      </c>
      <c r="D67" s="17">
        <f>'Multi'!$B110*'Loads'!$B45*'LAFs'!D230/(24*'Input'!$F$58)*1000</f>
        <v>0</v>
      </c>
      <c r="E67" s="17">
        <f>'Multi'!$B110*'Loads'!$B45*'LAFs'!E230/(24*'Input'!$F$58)*1000</f>
        <v>0</v>
      </c>
      <c r="F67" s="17">
        <f>'Multi'!$B110*'Loads'!$B45*'LAFs'!F230/(24*'Input'!$F$58)*1000</f>
        <v>0</v>
      </c>
      <c r="G67" s="17">
        <f>'Multi'!$B110*'Loads'!$B45*'LAFs'!G230/(24*'Input'!$F$58)*1000</f>
        <v>0</v>
      </c>
      <c r="H67" s="17">
        <f>'Multi'!$B110*'Loads'!$B45*'LAFs'!H230/(24*'Input'!$F$58)*1000</f>
        <v>0</v>
      </c>
      <c r="I67" s="17">
        <f>'Multi'!$B110*'Loads'!$B45*'LAFs'!I230/(24*'Input'!$F$58)*1000</f>
        <v>0</v>
      </c>
      <c r="J67" s="17">
        <f>'Multi'!$B110*'Loads'!$B45*'LAFs'!J230/(24*'Input'!$F$58)*1000</f>
        <v>0</v>
      </c>
      <c r="K67" s="10"/>
    </row>
    <row r="68" spans="1:11">
      <c r="A68" s="11" t="s">
        <v>210</v>
      </c>
      <c r="B68" s="17">
        <f>'Multi'!$B111*'Loads'!$B46*'LAFs'!B231/(24*'Input'!$F$58)*1000</f>
        <v>0</v>
      </c>
      <c r="C68" s="17">
        <f>'Multi'!$B111*'Loads'!$B46*'LAFs'!C231/(24*'Input'!$F$58)*1000</f>
        <v>0</v>
      </c>
      <c r="D68" s="17">
        <f>'Multi'!$B111*'Loads'!$B46*'LAFs'!D231/(24*'Input'!$F$58)*1000</f>
        <v>0</v>
      </c>
      <c r="E68" s="17">
        <f>'Multi'!$B111*'Loads'!$B46*'LAFs'!E231/(24*'Input'!$F$58)*1000</f>
        <v>0</v>
      </c>
      <c r="F68" s="17">
        <f>'Multi'!$B111*'Loads'!$B46*'LAFs'!F231/(24*'Input'!$F$58)*1000</f>
        <v>0</v>
      </c>
      <c r="G68" s="17">
        <f>'Multi'!$B111*'Loads'!$B46*'LAFs'!G231/(24*'Input'!$F$58)*1000</f>
        <v>0</v>
      </c>
      <c r="H68" s="17">
        <f>'Multi'!$B111*'Loads'!$B46*'LAFs'!H231/(24*'Input'!$F$58)*1000</f>
        <v>0</v>
      </c>
      <c r="I68" s="17">
        <f>'Multi'!$B111*'Loads'!$B46*'LAFs'!I231/(24*'Input'!$F$58)*1000</f>
        <v>0</v>
      </c>
      <c r="J68" s="17">
        <f>'Multi'!$B111*'Loads'!$B46*'LAFs'!J231/(24*'Input'!$F$58)*1000</f>
        <v>0</v>
      </c>
      <c r="K68" s="10"/>
    </row>
    <row r="69" spans="1:11">
      <c r="A69" s="11" t="s">
        <v>174</v>
      </c>
      <c r="B69" s="17">
        <f>'Multi'!$B112*'Loads'!$B47*'LAFs'!B232/(24*'Input'!$F$58)*1000</f>
        <v>0</v>
      </c>
      <c r="C69" s="17">
        <f>'Multi'!$B112*'Loads'!$B47*'LAFs'!C232/(24*'Input'!$F$58)*1000</f>
        <v>0</v>
      </c>
      <c r="D69" s="17">
        <f>'Multi'!$B112*'Loads'!$B47*'LAFs'!D232/(24*'Input'!$F$58)*1000</f>
        <v>0</v>
      </c>
      <c r="E69" s="17">
        <f>'Multi'!$B112*'Loads'!$B47*'LAFs'!E232/(24*'Input'!$F$58)*1000</f>
        <v>0</v>
      </c>
      <c r="F69" s="17">
        <f>'Multi'!$B112*'Loads'!$B47*'LAFs'!F232/(24*'Input'!$F$58)*1000</f>
        <v>0</v>
      </c>
      <c r="G69" s="17">
        <f>'Multi'!$B112*'Loads'!$B47*'LAFs'!G232/(24*'Input'!$F$58)*1000</f>
        <v>0</v>
      </c>
      <c r="H69" s="17">
        <f>'Multi'!$B112*'Loads'!$B47*'LAFs'!H232/(24*'Input'!$F$58)*1000</f>
        <v>0</v>
      </c>
      <c r="I69" s="17">
        <f>'Multi'!$B112*'Loads'!$B47*'LAFs'!I232/(24*'Input'!$F$58)*1000</f>
        <v>0</v>
      </c>
      <c r="J69" s="17">
        <f>'Multi'!$B112*'Loads'!$B47*'LAFs'!J232/(24*'Input'!$F$58)*1000</f>
        <v>0</v>
      </c>
      <c r="K69" s="10"/>
    </row>
    <row r="70" spans="1:11">
      <c r="A70" s="11" t="s">
        <v>175</v>
      </c>
      <c r="B70" s="17">
        <f>'Multi'!$B113*'Loads'!$B48*'LAFs'!B233/(24*'Input'!$F$58)*1000</f>
        <v>0</v>
      </c>
      <c r="C70" s="17">
        <f>'Multi'!$B113*'Loads'!$B48*'LAFs'!C233/(24*'Input'!$F$58)*1000</f>
        <v>0</v>
      </c>
      <c r="D70" s="17">
        <f>'Multi'!$B113*'Loads'!$B48*'LAFs'!D233/(24*'Input'!$F$58)*1000</f>
        <v>0</v>
      </c>
      <c r="E70" s="17">
        <f>'Multi'!$B113*'Loads'!$B48*'LAFs'!E233/(24*'Input'!$F$58)*1000</f>
        <v>0</v>
      </c>
      <c r="F70" s="17">
        <f>'Multi'!$B113*'Loads'!$B48*'LAFs'!F233/(24*'Input'!$F$58)*1000</f>
        <v>0</v>
      </c>
      <c r="G70" s="17">
        <f>'Multi'!$B113*'Loads'!$B48*'LAFs'!G233/(24*'Input'!$F$58)*1000</f>
        <v>0</v>
      </c>
      <c r="H70" s="17">
        <f>'Multi'!$B113*'Loads'!$B48*'LAFs'!H233/(24*'Input'!$F$58)*1000</f>
        <v>0</v>
      </c>
      <c r="I70" s="17">
        <f>'Multi'!$B113*'Loads'!$B48*'LAFs'!I233/(24*'Input'!$F$58)*1000</f>
        <v>0</v>
      </c>
      <c r="J70" s="17">
        <f>'Multi'!$B113*'Loads'!$B48*'LAFs'!J233/(24*'Input'!$F$58)*1000</f>
        <v>0</v>
      </c>
      <c r="K70" s="10"/>
    </row>
    <row r="71" spans="1:11">
      <c r="A71" s="11" t="s">
        <v>211</v>
      </c>
      <c r="B71" s="17">
        <f>'Multi'!$B114*'Loads'!$B49*'LAFs'!B234/(24*'Input'!$F$58)*1000</f>
        <v>0</v>
      </c>
      <c r="C71" s="17">
        <f>'Multi'!$B114*'Loads'!$B49*'LAFs'!C234/(24*'Input'!$F$58)*1000</f>
        <v>0</v>
      </c>
      <c r="D71" s="17">
        <f>'Multi'!$B114*'Loads'!$B49*'LAFs'!D234/(24*'Input'!$F$58)*1000</f>
        <v>0</v>
      </c>
      <c r="E71" s="17">
        <f>'Multi'!$B114*'Loads'!$B49*'LAFs'!E234/(24*'Input'!$F$58)*1000</f>
        <v>0</v>
      </c>
      <c r="F71" s="17">
        <f>'Multi'!$B114*'Loads'!$B49*'LAFs'!F234/(24*'Input'!$F$58)*1000</f>
        <v>0</v>
      </c>
      <c r="G71" s="17">
        <f>'Multi'!$B114*'Loads'!$B49*'LAFs'!G234/(24*'Input'!$F$58)*1000</f>
        <v>0</v>
      </c>
      <c r="H71" s="17">
        <f>'Multi'!$B114*'Loads'!$B49*'LAFs'!H234/(24*'Input'!$F$58)*1000</f>
        <v>0</v>
      </c>
      <c r="I71" s="17">
        <f>'Multi'!$B114*'Loads'!$B49*'LAFs'!I234/(24*'Input'!$F$58)*1000</f>
        <v>0</v>
      </c>
      <c r="J71" s="17">
        <f>'Multi'!$B114*'Loads'!$B49*'LAFs'!J234/(24*'Input'!$F$58)*1000</f>
        <v>0</v>
      </c>
      <c r="K71" s="10"/>
    </row>
    <row r="72" spans="1:11">
      <c r="A72" s="11" t="s">
        <v>176</v>
      </c>
      <c r="B72" s="17">
        <f>'Multi'!$B115*'Loads'!$B50*'LAFs'!B235/(24*'Input'!$F$58)*1000</f>
        <v>0</v>
      </c>
      <c r="C72" s="17">
        <f>'Multi'!$B115*'Loads'!$B50*'LAFs'!C235/(24*'Input'!$F$58)*1000</f>
        <v>0</v>
      </c>
      <c r="D72" s="17">
        <f>'Multi'!$B115*'Loads'!$B50*'LAFs'!D235/(24*'Input'!$F$58)*1000</f>
        <v>0</v>
      </c>
      <c r="E72" s="17">
        <f>'Multi'!$B115*'Loads'!$B50*'LAFs'!E235/(24*'Input'!$F$58)*1000</f>
        <v>0</v>
      </c>
      <c r="F72" s="17">
        <f>'Multi'!$B115*'Loads'!$B50*'LAFs'!F235/(24*'Input'!$F$58)*1000</f>
        <v>0</v>
      </c>
      <c r="G72" s="17">
        <f>'Multi'!$B115*'Loads'!$B50*'LAFs'!G235/(24*'Input'!$F$58)*1000</f>
        <v>0</v>
      </c>
      <c r="H72" s="17">
        <f>'Multi'!$B115*'Loads'!$B50*'LAFs'!H235/(24*'Input'!$F$58)*1000</f>
        <v>0</v>
      </c>
      <c r="I72" s="17">
        <f>'Multi'!$B115*'Loads'!$B50*'LAFs'!I235/(24*'Input'!$F$58)*1000</f>
        <v>0</v>
      </c>
      <c r="J72" s="17">
        <f>'Multi'!$B115*'Loads'!$B50*'LAFs'!J235/(24*'Input'!$F$58)*1000</f>
        <v>0</v>
      </c>
      <c r="K72" s="10"/>
    </row>
    <row r="73" spans="1:11">
      <c r="A73" s="11" t="s">
        <v>177</v>
      </c>
      <c r="B73" s="17">
        <f>'Multi'!$B116*'Loads'!$B51*'LAFs'!B236/(24*'Input'!$F$58)*1000</f>
        <v>0</v>
      </c>
      <c r="C73" s="17">
        <f>'Multi'!$B116*'Loads'!$B51*'LAFs'!C236/(24*'Input'!$F$58)*1000</f>
        <v>0</v>
      </c>
      <c r="D73" s="17">
        <f>'Multi'!$B116*'Loads'!$B51*'LAFs'!D236/(24*'Input'!$F$58)*1000</f>
        <v>0</v>
      </c>
      <c r="E73" s="17">
        <f>'Multi'!$B116*'Loads'!$B51*'LAFs'!E236/(24*'Input'!$F$58)*1000</f>
        <v>0</v>
      </c>
      <c r="F73" s="17">
        <f>'Multi'!$B116*'Loads'!$B51*'LAFs'!F236/(24*'Input'!$F$58)*1000</f>
        <v>0</v>
      </c>
      <c r="G73" s="17">
        <f>'Multi'!$B116*'Loads'!$B51*'LAFs'!G236/(24*'Input'!$F$58)*1000</f>
        <v>0</v>
      </c>
      <c r="H73" s="17">
        <f>'Multi'!$B116*'Loads'!$B51*'LAFs'!H236/(24*'Input'!$F$58)*1000</f>
        <v>0</v>
      </c>
      <c r="I73" s="17">
        <f>'Multi'!$B116*'Loads'!$B51*'LAFs'!I236/(24*'Input'!$F$58)*1000</f>
        <v>0</v>
      </c>
      <c r="J73" s="17">
        <f>'Multi'!$B116*'Loads'!$B51*'LAFs'!J236/(24*'Input'!$F$58)*1000</f>
        <v>0</v>
      </c>
      <c r="K73" s="10"/>
    </row>
    <row r="74" spans="1:11">
      <c r="A74" s="11" t="s">
        <v>191</v>
      </c>
      <c r="B74" s="17">
        <f>'Multi'!$B117*'Loads'!$B52*'LAFs'!B237/(24*'Input'!$F$58)*1000</f>
        <v>0</v>
      </c>
      <c r="C74" s="17">
        <f>'Multi'!$B117*'Loads'!$B52*'LAFs'!C237/(24*'Input'!$F$58)*1000</f>
        <v>0</v>
      </c>
      <c r="D74" s="17">
        <f>'Multi'!$B117*'Loads'!$B52*'LAFs'!D237/(24*'Input'!$F$58)*1000</f>
        <v>0</v>
      </c>
      <c r="E74" s="17">
        <f>'Multi'!$B117*'Loads'!$B52*'LAFs'!E237/(24*'Input'!$F$58)*1000</f>
        <v>0</v>
      </c>
      <c r="F74" s="17">
        <f>'Multi'!$B117*'Loads'!$B52*'LAFs'!F237/(24*'Input'!$F$58)*1000</f>
        <v>0</v>
      </c>
      <c r="G74" s="17">
        <f>'Multi'!$B117*'Loads'!$B52*'LAFs'!G237/(24*'Input'!$F$58)*1000</f>
        <v>0</v>
      </c>
      <c r="H74" s="17">
        <f>'Multi'!$B117*'Loads'!$B52*'LAFs'!H237/(24*'Input'!$F$58)*1000</f>
        <v>0</v>
      </c>
      <c r="I74" s="17">
        <f>'Multi'!$B117*'Loads'!$B52*'LAFs'!I237/(24*'Input'!$F$58)*1000</f>
        <v>0</v>
      </c>
      <c r="J74" s="17">
        <f>'Multi'!$B117*'Loads'!$B52*'LAFs'!J237/(24*'Input'!$F$58)*1000</f>
        <v>0</v>
      </c>
      <c r="K74" s="10"/>
    </row>
    <row r="75" spans="1:11">
      <c r="A75" s="11" t="s">
        <v>178</v>
      </c>
      <c r="B75" s="17">
        <f>'Multi'!$B118*'Loads'!$B53*'LAFs'!B238/(24*'Input'!$F$58)*1000</f>
        <v>0</v>
      </c>
      <c r="C75" s="17">
        <f>'Multi'!$B118*'Loads'!$B53*'LAFs'!C238/(24*'Input'!$F$58)*1000</f>
        <v>0</v>
      </c>
      <c r="D75" s="17">
        <f>'Multi'!$B118*'Loads'!$B53*'LAFs'!D238/(24*'Input'!$F$58)*1000</f>
        <v>0</v>
      </c>
      <c r="E75" s="17">
        <f>'Multi'!$B118*'Loads'!$B53*'LAFs'!E238/(24*'Input'!$F$58)*1000</f>
        <v>0</v>
      </c>
      <c r="F75" s="17">
        <f>'Multi'!$B118*'Loads'!$B53*'LAFs'!F238/(24*'Input'!$F$58)*1000</f>
        <v>0</v>
      </c>
      <c r="G75" s="17">
        <f>'Multi'!$B118*'Loads'!$B53*'LAFs'!G238/(24*'Input'!$F$58)*1000</f>
        <v>0</v>
      </c>
      <c r="H75" s="17">
        <f>'Multi'!$B118*'Loads'!$B53*'LAFs'!H238/(24*'Input'!$F$58)*1000</f>
        <v>0</v>
      </c>
      <c r="I75" s="17">
        <f>'Multi'!$B118*'Loads'!$B53*'LAFs'!I238/(24*'Input'!$F$58)*1000</f>
        <v>0</v>
      </c>
      <c r="J75" s="17">
        <f>'Multi'!$B118*'Loads'!$B53*'LAFs'!J238/(24*'Input'!$F$58)*1000</f>
        <v>0</v>
      </c>
      <c r="K75" s="10"/>
    </row>
    <row r="76" spans="1:11">
      <c r="A76" s="11" t="s">
        <v>179</v>
      </c>
      <c r="B76" s="17">
        <f>'Multi'!$B119*'Loads'!$B54*'LAFs'!B239/(24*'Input'!$F$58)*1000</f>
        <v>0</v>
      </c>
      <c r="C76" s="17">
        <f>'Multi'!$B119*'Loads'!$B54*'LAFs'!C239/(24*'Input'!$F$58)*1000</f>
        <v>0</v>
      </c>
      <c r="D76" s="17">
        <f>'Multi'!$B119*'Loads'!$B54*'LAFs'!D239/(24*'Input'!$F$58)*1000</f>
        <v>0</v>
      </c>
      <c r="E76" s="17">
        <f>'Multi'!$B119*'Loads'!$B54*'LAFs'!E239/(24*'Input'!$F$58)*1000</f>
        <v>0</v>
      </c>
      <c r="F76" s="17">
        <f>'Multi'!$B119*'Loads'!$B54*'LAFs'!F239/(24*'Input'!$F$58)*1000</f>
        <v>0</v>
      </c>
      <c r="G76" s="17">
        <f>'Multi'!$B119*'Loads'!$B54*'LAFs'!G239/(24*'Input'!$F$58)*1000</f>
        <v>0</v>
      </c>
      <c r="H76" s="17">
        <f>'Multi'!$B119*'Loads'!$B54*'LAFs'!H239/(24*'Input'!$F$58)*1000</f>
        <v>0</v>
      </c>
      <c r="I76" s="17">
        <f>'Multi'!$B119*'Loads'!$B54*'LAFs'!I239/(24*'Input'!$F$58)*1000</f>
        <v>0</v>
      </c>
      <c r="J76" s="17">
        <f>'Multi'!$B119*'Loads'!$B54*'LAFs'!J239/(24*'Input'!$F$58)*1000</f>
        <v>0</v>
      </c>
      <c r="K76" s="10"/>
    </row>
    <row r="77" spans="1:11">
      <c r="A77" s="11" t="s">
        <v>192</v>
      </c>
      <c r="B77" s="17">
        <f>'Multi'!$B120*'Loads'!$B55*'LAFs'!B240/(24*'Input'!$F$58)*1000</f>
        <v>0</v>
      </c>
      <c r="C77" s="17">
        <f>'Multi'!$B120*'Loads'!$B55*'LAFs'!C240/(24*'Input'!$F$58)*1000</f>
        <v>0</v>
      </c>
      <c r="D77" s="17">
        <f>'Multi'!$B120*'Loads'!$B55*'LAFs'!D240/(24*'Input'!$F$58)*1000</f>
        <v>0</v>
      </c>
      <c r="E77" s="17">
        <f>'Multi'!$B120*'Loads'!$B55*'LAFs'!E240/(24*'Input'!$F$58)*1000</f>
        <v>0</v>
      </c>
      <c r="F77" s="17">
        <f>'Multi'!$B120*'Loads'!$B55*'LAFs'!F240/(24*'Input'!$F$58)*1000</f>
        <v>0</v>
      </c>
      <c r="G77" s="17">
        <f>'Multi'!$B120*'Loads'!$B55*'LAFs'!G240/(24*'Input'!$F$58)*1000</f>
        <v>0</v>
      </c>
      <c r="H77" s="17">
        <f>'Multi'!$B120*'Loads'!$B55*'LAFs'!H240/(24*'Input'!$F$58)*1000</f>
        <v>0</v>
      </c>
      <c r="I77" s="17">
        <f>'Multi'!$B120*'Loads'!$B55*'LAFs'!I240/(24*'Input'!$F$58)*1000</f>
        <v>0</v>
      </c>
      <c r="J77" s="17">
        <f>'Multi'!$B120*'Loads'!$B55*'LAFs'!J240/(24*'Input'!$F$58)*1000</f>
        <v>0</v>
      </c>
      <c r="K77" s="10"/>
    </row>
    <row r="78" spans="1:11">
      <c r="A78" s="11" t="s">
        <v>212</v>
      </c>
      <c r="B78" s="17">
        <f>'Multi'!$B121*'Loads'!$B56*'LAFs'!B241/(24*'Input'!$F$58)*1000</f>
        <v>0</v>
      </c>
      <c r="C78" s="17">
        <f>'Multi'!$B121*'Loads'!$B56*'LAFs'!C241/(24*'Input'!$F$58)*1000</f>
        <v>0</v>
      </c>
      <c r="D78" s="17">
        <f>'Multi'!$B121*'Loads'!$B56*'LAFs'!D241/(24*'Input'!$F$58)*1000</f>
        <v>0</v>
      </c>
      <c r="E78" s="17">
        <f>'Multi'!$B121*'Loads'!$B56*'LAFs'!E241/(24*'Input'!$F$58)*1000</f>
        <v>0</v>
      </c>
      <c r="F78" s="17">
        <f>'Multi'!$B121*'Loads'!$B56*'LAFs'!F241/(24*'Input'!$F$58)*1000</f>
        <v>0</v>
      </c>
      <c r="G78" s="17">
        <f>'Multi'!$B121*'Loads'!$B56*'LAFs'!G241/(24*'Input'!$F$58)*1000</f>
        <v>0</v>
      </c>
      <c r="H78" s="17">
        <f>'Multi'!$B121*'Loads'!$B56*'LAFs'!H241/(24*'Input'!$F$58)*1000</f>
        <v>0</v>
      </c>
      <c r="I78" s="17">
        <f>'Multi'!$B121*'Loads'!$B56*'LAFs'!I241/(24*'Input'!$F$58)*1000</f>
        <v>0</v>
      </c>
      <c r="J78" s="17">
        <f>'Multi'!$B121*'Loads'!$B56*'LAFs'!J241/(24*'Input'!$F$58)*1000</f>
        <v>0</v>
      </c>
      <c r="K78" s="10"/>
    </row>
    <row r="79" spans="1:11">
      <c r="A79" s="11" t="s">
        <v>213</v>
      </c>
      <c r="B79" s="17">
        <f>'Multi'!$B122*'Loads'!$B57*'LAFs'!B242/(24*'Input'!$F$58)*1000</f>
        <v>0</v>
      </c>
      <c r="C79" s="17">
        <f>'Multi'!$B122*'Loads'!$B57*'LAFs'!C242/(24*'Input'!$F$58)*1000</f>
        <v>0</v>
      </c>
      <c r="D79" s="17">
        <f>'Multi'!$B122*'Loads'!$B57*'LAFs'!D242/(24*'Input'!$F$58)*1000</f>
        <v>0</v>
      </c>
      <c r="E79" s="17">
        <f>'Multi'!$B122*'Loads'!$B57*'LAFs'!E242/(24*'Input'!$F$58)*1000</f>
        <v>0</v>
      </c>
      <c r="F79" s="17">
        <f>'Multi'!$B122*'Loads'!$B57*'LAFs'!F242/(24*'Input'!$F$58)*1000</f>
        <v>0</v>
      </c>
      <c r="G79" s="17">
        <f>'Multi'!$B122*'Loads'!$B57*'LAFs'!G242/(24*'Input'!$F$58)*1000</f>
        <v>0</v>
      </c>
      <c r="H79" s="17">
        <f>'Multi'!$B122*'Loads'!$B57*'LAFs'!H242/(24*'Input'!$F$58)*1000</f>
        <v>0</v>
      </c>
      <c r="I79" s="17">
        <f>'Multi'!$B122*'Loads'!$B57*'LAFs'!I242/(24*'Input'!$F$58)*1000</f>
        <v>0</v>
      </c>
      <c r="J79" s="17">
        <f>'Multi'!$B122*'Loads'!$B57*'LAFs'!J242/(24*'Input'!$F$58)*1000</f>
        <v>0</v>
      </c>
      <c r="K79" s="10"/>
    </row>
    <row r="80" spans="1:11">
      <c r="A80" s="11" t="s">
        <v>214</v>
      </c>
      <c r="B80" s="17">
        <f>'Multi'!$B123*'Loads'!$B58*'LAFs'!B243/(24*'Input'!$F$58)*1000</f>
        <v>0</v>
      </c>
      <c r="C80" s="17">
        <f>'Multi'!$B123*'Loads'!$B58*'LAFs'!C243/(24*'Input'!$F$58)*1000</f>
        <v>0</v>
      </c>
      <c r="D80" s="17">
        <f>'Multi'!$B123*'Loads'!$B58*'LAFs'!D243/(24*'Input'!$F$58)*1000</f>
        <v>0</v>
      </c>
      <c r="E80" s="17">
        <f>'Multi'!$B123*'Loads'!$B58*'LAFs'!E243/(24*'Input'!$F$58)*1000</f>
        <v>0</v>
      </c>
      <c r="F80" s="17">
        <f>'Multi'!$B123*'Loads'!$B58*'LAFs'!F243/(24*'Input'!$F$58)*1000</f>
        <v>0</v>
      </c>
      <c r="G80" s="17">
        <f>'Multi'!$B123*'Loads'!$B58*'LAFs'!G243/(24*'Input'!$F$58)*1000</f>
        <v>0</v>
      </c>
      <c r="H80" s="17">
        <f>'Multi'!$B123*'Loads'!$B58*'LAFs'!H243/(24*'Input'!$F$58)*1000</f>
        <v>0</v>
      </c>
      <c r="I80" s="17">
        <f>'Multi'!$B123*'Loads'!$B58*'LAFs'!I243/(24*'Input'!$F$58)*1000</f>
        <v>0</v>
      </c>
      <c r="J80" s="17">
        <f>'Multi'!$B123*'Loads'!$B58*'LAFs'!J243/(24*'Input'!$F$58)*1000</f>
        <v>0</v>
      </c>
      <c r="K80" s="10"/>
    </row>
    <row r="81" spans="1:11">
      <c r="A81" s="11" t="s">
        <v>215</v>
      </c>
      <c r="B81" s="17">
        <f>'Multi'!$B124*'Loads'!$B59*'LAFs'!B244/(24*'Input'!$F$58)*1000</f>
        <v>0</v>
      </c>
      <c r="C81" s="17">
        <f>'Multi'!$B124*'Loads'!$B59*'LAFs'!C244/(24*'Input'!$F$58)*1000</f>
        <v>0</v>
      </c>
      <c r="D81" s="17">
        <f>'Multi'!$B124*'Loads'!$B59*'LAFs'!D244/(24*'Input'!$F$58)*1000</f>
        <v>0</v>
      </c>
      <c r="E81" s="17">
        <f>'Multi'!$B124*'Loads'!$B59*'LAFs'!E244/(24*'Input'!$F$58)*1000</f>
        <v>0</v>
      </c>
      <c r="F81" s="17">
        <f>'Multi'!$B124*'Loads'!$B59*'LAFs'!F244/(24*'Input'!$F$58)*1000</f>
        <v>0</v>
      </c>
      <c r="G81" s="17">
        <f>'Multi'!$B124*'Loads'!$B59*'LAFs'!G244/(24*'Input'!$F$58)*1000</f>
        <v>0</v>
      </c>
      <c r="H81" s="17">
        <f>'Multi'!$B124*'Loads'!$B59*'LAFs'!H244/(24*'Input'!$F$58)*1000</f>
        <v>0</v>
      </c>
      <c r="I81" s="17">
        <f>'Multi'!$B124*'Loads'!$B59*'LAFs'!I244/(24*'Input'!$F$58)*1000</f>
        <v>0</v>
      </c>
      <c r="J81" s="17">
        <f>'Multi'!$B124*'Loads'!$B59*'LAFs'!J244/(24*'Input'!$F$58)*1000</f>
        <v>0</v>
      </c>
      <c r="K81" s="10"/>
    </row>
    <row r="82" spans="1:11">
      <c r="A82" s="11" t="s">
        <v>216</v>
      </c>
      <c r="B82" s="17">
        <f>'Multi'!$B125*'Loads'!$B60*'LAFs'!B245/(24*'Input'!$F$58)*1000</f>
        <v>0</v>
      </c>
      <c r="C82" s="17">
        <f>'Multi'!$B125*'Loads'!$B60*'LAFs'!C245/(24*'Input'!$F$58)*1000</f>
        <v>0</v>
      </c>
      <c r="D82" s="17">
        <f>'Multi'!$B125*'Loads'!$B60*'LAFs'!D245/(24*'Input'!$F$58)*1000</f>
        <v>0</v>
      </c>
      <c r="E82" s="17">
        <f>'Multi'!$B125*'Loads'!$B60*'LAFs'!E245/(24*'Input'!$F$58)*1000</f>
        <v>0</v>
      </c>
      <c r="F82" s="17">
        <f>'Multi'!$B125*'Loads'!$B60*'LAFs'!F245/(24*'Input'!$F$58)*1000</f>
        <v>0</v>
      </c>
      <c r="G82" s="17">
        <f>'Multi'!$B125*'Loads'!$B60*'LAFs'!G245/(24*'Input'!$F$58)*1000</f>
        <v>0</v>
      </c>
      <c r="H82" s="17">
        <f>'Multi'!$B125*'Loads'!$B60*'LAFs'!H245/(24*'Input'!$F$58)*1000</f>
        <v>0</v>
      </c>
      <c r="I82" s="17">
        <f>'Multi'!$B125*'Loads'!$B60*'LAFs'!I245/(24*'Input'!$F$58)*1000</f>
        <v>0</v>
      </c>
      <c r="J82" s="17">
        <f>'Multi'!$B125*'Loads'!$B60*'LAFs'!J245/(24*'Input'!$F$58)*1000</f>
        <v>0</v>
      </c>
      <c r="K82" s="10"/>
    </row>
    <row r="83" spans="1:11">
      <c r="A83" s="11" t="s">
        <v>180</v>
      </c>
      <c r="B83" s="17">
        <f>'Multi'!$B126*'Loads'!$B61*'LAFs'!B246/(24*'Input'!$F$58)*1000</f>
        <v>0</v>
      </c>
      <c r="C83" s="17">
        <f>'Multi'!$B126*'Loads'!$B61*'LAFs'!C246/(24*'Input'!$F$58)*1000</f>
        <v>0</v>
      </c>
      <c r="D83" s="17">
        <f>'Multi'!$B126*'Loads'!$B61*'LAFs'!D246/(24*'Input'!$F$58)*1000</f>
        <v>0</v>
      </c>
      <c r="E83" s="17">
        <f>'Multi'!$B126*'Loads'!$B61*'LAFs'!E246/(24*'Input'!$F$58)*1000</f>
        <v>0</v>
      </c>
      <c r="F83" s="17">
        <f>'Multi'!$B126*'Loads'!$B61*'LAFs'!F246/(24*'Input'!$F$58)*1000</f>
        <v>0</v>
      </c>
      <c r="G83" s="17">
        <f>'Multi'!$B126*'Loads'!$B61*'LAFs'!G246/(24*'Input'!$F$58)*1000</f>
        <v>0</v>
      </c>
      <c r="H83" s="17">
        <f>'Multi'!$B126*'Loads'!$B61*'LAFs'!H246/(24*'Input'!$F$58)*1000</f>
        <v>0</v>
      </c>
      <c r="I83" s="17">
        <f>'Multi'!$B126*'Loads'!$B61*'LAFs'!I246/(24*'Input'!$F$58)*1000</f>
        <v>0</v>
      </c>
      <c r="J83" s="17">
        <f>'Multi'!$B126*'Loads'!$B61*'LAFs'!J246/(24*'Input'!$F$58)*1000</f>
        <v>0</v>
      </c>
      <c r="K83" s="10"/>
    </row>
    <row r="84" spans="1:11">
      <c r="A84" s="11" t="s">
        <v>181</v>
      </c>
      <c r="B84" s="17">
        <f>'Multi'!$B127*'Loads'!$B62*'LAFs'!B247/(24*'Input'!$F$58)*1000</f>
        <v>0</v>
      </c>
      <c r="C84" s="17">
        <f>'Multi'!$B127*'Loads'!$B62*'LAFs'!C247/(24*'Input'!$F$58)*1000</f>
        <v>0</v>
      </c>
      <c r="D84" s="17">
        <f>'Multi'!$B127*'Loads'!$B62*'LAFs'!D247/(24*'Input'!$F$58)*1000</f>
        <v>0</v>
      </c>
      <c r="E84" s="17">
        <f>'Multi'!$B127*'Loads'!$B62*'LAFs'!E247/(24*'Input'!$F$58)*1000</f>
        <v>0</v>
      </c>
      <c r="F84" s="17">
        <f>'Multi'!$B127*'Loads'!$B62*'LAFs'!F247/(24*'Input'!$F$58)*1000</f>
        <v>0</v>
      </c>
      <c r="G84" s="17">
        <f>'Multi'!$B127*'Loads'!$B62*'LAFs'!G247/(24*'Input'!$F$58)*1000</f>
        <v>0</v>
      </c>
      <c r="H84" s="17">
        <f>'Multi'!$B127*'Loads'!$B62*'LAFs'!H247/(24*'Input'!$F$58)*1000</f>
        <v>0</v>
      </c>
      <c r="I84" s="17">
        <f>'Multi'!$B127*'Loads'!$B62*'LAFs'!I247/(24*'Input'!$F$58)*1000</f>
        <v>0</v>
      </c>
      <c r="J84" s="17">
        <f>'Multi'!$B127*'Loads'!$B62*'LAFs'!J247/(24*'Input'!$F$58)*1000</f>
        <v>0</v>
      </c>
      <c r="K84" s="10"/>
    </row>
    <row r="85" spans="1:11">
      <c r="A85" s="11" t="s">
        <v>182</v>
      </c>
      <c r="B85" s="17">
        <f>'Multi'!$B128*'Loads'!$B63*'LAFs'!B248/(24*'Input'!$F$58)*1000</f>
        <v>0</v>
      </c>
      <c r="C85" s="17">
        <f>'Multi'!$B128*'Loads'!$B63*'LAFs'!C248/(24*'Input'!$F$58)*1000</f>
        <v>0</v>
      </c>
      <c r="D85" s="17">
        <f>'Multi'!$B128*'Loads'!$B63*'LAFs'!D248/(24*'Input'!$F$58)*1000</f>
        <v>0</v>
      </c>
      <c r="E85" s="17">
        <f>'Multi'!$B128*'Loads'!$B63*'LAFs'!E248/(24*'Input'!$F$58)*1000</f>
        <v>0</v>
      </c>
      <c r="F85" s="17">
        <f>'Multi'!$B128*'Loads'!$B63*'LAFs'!F248/(24*'Input'!$F$58)*1000</f>
        <v>0</v>
      </c>
      <c r="G85" s="17">
        <f>'Multi'!$B128*'Loads'!$B63*'LAFs'!G248/(24*'Input'!$F$58)*1000</f>
        <v>0</v>
      </c>
      <c r="H85" s="17">
        <f>'Multi'!$B128*'Loads'!$B63*'LAFs'!H248/(24*'Input'!$F$58)*1000</f>
        <v>0</v>
      </c>
      <c r="I85" s="17">
        <f>'Multi'!$B128*'Loads'!$B63*'LAFs'!I248/(24*'Input'!$F$58)*1000</f>
        <v>0</v>
      </c>
      <c r="J85" s="17">
        <f>'Multi'!$B128*'Loads'!$B63*'LAFs'!J248/(24*'Input'!$F$58)*1000</f>
        <v>0</v>
      </c>
      <c r="K85" s="10"/>
    </row>
    <row r="86" spans="1:11">
      <c r="A86" s="11" t="s">
        <v>183</v>
      </c>
      <c r="B86" s="17">
        <f>'Multi'!$B129*'Loads'!$B64*'LAFs'!B249/(24*'Input'!$F$58)*1000</f>
        <v>0</v>
      </c>
      <c r="C86" s="17">
        <f>'Multi'!$B129*'Loads'!$B64*'LAFs'!C249/(24*'Input'!$F$58)*1000</f>
        <v>0</v>
      </c>
      <c r="D86" s="17">
        <f>'Multi'!$B129*'Loads'!$B64*'LAFs'!D249/(24*'Input'!$F$58)*1000</f>
        <v>0</v>
      </c>
      <c r="E86" s="17">
        <f>'Multi'!$B129*'Loads'!$B64*'LAFs'!E249/(24*'Input'!$F$58)*1000</f>
        <v>0</v>
      </c>
      <c r="F86" s="17">
        <f>'Multi'!$B129*'Loads'!$B64*'LAFs'!F249/(24*'Input'!$F$58)*1000</f>
        <v>0</v>
      </c>
      <c r="G86" s="17">
        <f>'Multi'!$B129*'Loads'!$B64*'LAFs'!G249/(24*'Input'!$F$58)*1000</f>
        <v>0</v>
      </c>
      <c r="H86" s="17">
        <f>'Multi'!$B129*'Loads'!$B64*'LAFs'!H249/(24*'Input'!$F$58)*1000</f>
        <v>0</v>
      </c>
      <c r="I86" s="17">
        <f>'Multi'!$B129*'Loads'!$B64*'LAFs'!I249/(24*'Input'!$F$58)*1000</f>
        <v>0</v>
      </c>
      <c r="J86" s="17">
        <f>'Multi'!$B129*'Loads'!$B64*'LAFs'!J249/(24*'Input'!$F$58)*1000</f>
        <v>0</v>
      </c>
      <c r="K86" s="10"/>
    </row>
    <row r="87" spans="1:11">
      <c r="A87" s="11" t="s">
        <v>184</v>
      </c>
      <c r="B87" s="17">
        <f>'Multi'!$B130*'Loads'!$B65*'LAFs'!B250/(24*'Input'!$F$58)*1000</f>
        <v>0</v>
      </c>
      <c r="C87" s="17">
        <f>'Multi'!$B130*'Loads'!$B65*'LAFs'!C250/(24*'Input'!$F$58)*1000</f>
        <v>0</v>
      </c>
      <c r="D87" s="17">
        <f>'Multi'!$B130*'Loads'!$B65*'LAFs'!D250/(24*'Input'!$F$58)*1000</f>
        <v>0</v>
      </c>
      <c r="E87" s="17">
        <f>'Multi'!$B130*'Loads'!$B65*'LAFs'!E250/(24*'Input'!$F$58)*1000</f>
        <v>0</v>
      </c>
      <c r="F87" s="17">
        <f>'Multi'!$B130*'Loads'!$B65*'LAFs'!F250/(24*'Input'!$F$58)*1000</f>
        <v>0</v>
      </c>
      <c r="G87" s="17">
        <f>'Multi'!$B130*'Loads'!$B65*'LAFs'!G250/(24*'Input'!$F$58)*1000</f>
        <v>0</v>
      </c>
      <c r="H87" s="17">
        <f>'Multi'!$B130*'Loads'!$B65*'LAFs'!H250/(24*'Input'!$F$58)*1000</f>
        <v>0</v>
      </c>
      <c r="I87" s="17">
        <f>'Multi'!$B130*'Loads'!$B65*'LAFs'!I250/(24*'Input'!$F$58)*1000</f>
        <v>0</v>
      </c>
      <c r="J87" s="17">
        <f>'Multi'!$B130*'Loads'!$B65*'LAFs'!J250/(24*'Input'!$F$58)*1000</f>
        <v>0</v>
      </c>
      <c r="K87" s="10"/>
    </row>
    <row r="88" spans="1:11">
      <c r="A88" s="11" t="s">
        <v>185</v>
      </c>
      <c r="B88" s="17">
        <f>'Multi'!$B131*'Loads'!$B66*'LAFs'!B251/(24*'Input'!$F$58)*1000</f>
        <v>0</v>
      </c>
      <c r="C88" s="17">
        <f>'Multi'!$B131*'Loads'!$B66*'LAFs'!C251/(24*'Input'!$F$58)*1000</f>
        <v>0</v>
      </c>
      <c r="D88" s="17">
        <f>'Multi'!$B131*'Loads'!$B66*'LAFs'!D251/(24*'Input'!$F$58)*1000</f>
        <v>0</v>
      </c>
      <c r="E88" s="17">
        <f>'Multi'!$B131*'Loads'!$B66*'LAFs'!E251/(24*'Input'!$F$58)*1000</f>
        <v>0</v>
      </c>
      <c r="F88" s="17">
        <f>'Multi'!$B131*'Loads'!$B66*'LAFs'!F251/(24*'Input'!$F$58)*1000</f>
        <v>0</v>
      </c>
      <c r="G88" s="17">
        <f>'Multi'!$B131*'Loads'!$B66*'LAFs'!G251/(24*'Input'!$F$58)*1000</f>
        <v>0</v>
      </c>
      <c r="H88" s="17">
        <f>'Multi'!$B131*'Loads'!$B66*'LAFs'!H251/(24*'Input'!$F$58)*1000</f>
        <v>0</v>
      </c>
      <c r="I88" s="17">
        <f>'Multi'!$B131*'Loads'!$B66*'LAFs'!I251/(24*'Input'!$F$58)*1000</f>
        <v>0</v>
      </c>
      <c r="J88" s="17">
        <f>'Multi'!$B131*'Loads'!$B66*'LAFs'!J251/(24*'Input'!$F$58)*1000</f>
        <v>0</v>
      </c>
      <c r="K88" s="10"/>
    </row>
    <row r="89" spans="1:11">
      <c r="A89" s="11" t="s">
        <v>193</v>
      </c>
      <c r="B89" s="17">
        <f>'Multi'!$B132*'Loads'!$B67*'LAFs'!B252/(24*'Input'!$F$58)*1000</f>
        <v>0</v>
      </c>
      <c r="C89" s="17">
        <f>'Multi'!$B132*'Loads'!$B67*'LAFs'!C252/(24*'Input'!$F$58)*1000</f>
        <v>0</v>
      </c>
      <c r="D89" s="17">
        <f>'Multi'!$B132*'Loads'!$B67*'LAFs'!D252/(24*'Input'!$F$58)*1000</f>
        <v>0</v>
      </c>
      <c r="E89" s="17">
        <f>'Multi'!$B132*'Loads'!$B67*'LAFs'!E252/(24*'Input'!$F$58)*1000</f>
        <v>0</v>
      </c>
      <c r="F89" s="17">
        <f>'Multi'!$B132*'Loads'!$B67*'LAFs'!F252/(24*'Input'!$F$58)*1000</f>
        <v>0</v>
      </c>
      <c r="G89" s="17">
        <f>'Multi'!$B132*'Loads'!$B67*'LAFs'!G252/(24*'Input'!$F$58)*1000</f>
        <v>0</v>
      </c>
      <c r="H89" s="17">
        <f>'Multi'!$B132*'Loads'!$B67*'LAFs'!H252/(24*'Input'!$F$58)*1000</f>
        <v>0</v>
      </c>
      <c r="I89" s="17">
        <f>'Multi'!$B132*'Loads'!$B67*'LAFs'!I252/(24*'Input'!$F$58)*1000</f>
        <v>0</v>
      </c>
      <c r="J89" s="17">
        <f>'Multi'!$B132*'Loads'!$B67*'LAFs'!J252/(24*'Input'!$F$58)*1000</f>
        <v>0</v>
      </c>
      <c r="K89" s="10"/>
    </row>
    <row r="90" spans="1:11">
      <c r="A90" s="11" t="s">
        <v>194</v>
      </c>
      <c r="B90" s="17">
        <f>'Multi'!$B133*'Loads'!$B68*'LAFs'!B253/(24*'Input'!$F$58)*1000</f>
        <v>0</v>
      </c>
      <c r="C90" s="17">
        <f>'Multi'!$B133*'Loads'!$B68*'LAFs'!C253/(24*'Input'!$F$58)*1000</f>
        <v>0</v>
      </c>
      <c r="D90" s="17">
        <f>'Multi'!$B133*'Loads'!$B68*'LAFs'!D253/(24*'Input'!$F$58)*1000</f>
        <v>0</v>
      </c>
      <c r="E90" s="17">
        <f>'Multi'!$B133*'Loads'!$B68*'LAFs'!E253/(24*'Input'!$F$58)*1000</f>
        <v>0</v>
      </c>
      <c r="F90" s="17">
        <f>'Multi'!$B133*'Loads'!$B68*'LAFs'!F253/(24*'Input'!$F$58)*1000</f>
        <v>0</v>
      </c>
      <c r="G90" s="17">
        <f>'Multi'!$B133*'Loads'!$B68*'LAFs'!G253/(24*'Input'!$F$58)*1000</f>
        <v>0</v>
      </c>
      <c r="H90" s="17">
        <f>'Multi'!$B133*'Loads'!$B68*'LAFs'!H253/(24*'Input'!$F$58)*1000</f>
        <v>0</v>
      </c>
      <c r="I90" s="17">
        <f>'Multi'!$B133*'Loads'!$B68*'LAFs'!I253/(24*'Input'!$F$58)*1000</f>
        <v>0</v>
      </c>
      <c r="J90" s="17">
        <f>'Multi'!$B133*'Loads'!$B68*'LAFs'!J253/(24*'Input'!$F$58)*1000</f>
        <v>0</v>
      </c>
      <c r="K90" s="10"/>
    </row>
    <row r="92" spans="1:11">
      <c r="A92" s="1" t="s">
        <v>745</v>
      </c>
    </row>
    <row r="93" spans="1:11">
      <c r="A93" s="2" t="s">
        <v>349</v>
      </c>
    </row>
    <row r="94" spans="1:11">
      <c r="A94" s="12" t="s">
        <v>746</v>
      </c>
    </row>
    <row r="95" spans="1:11">
      <c r="A95" s="12" t="s">
        <v>747</v>
      </c>
    </row>
    <row r="96" spans="1:11">
      <c r="A96" s="12" t="s">
        <v>748</v>
      </c>
    </row>
    <row r="97" spans="1:11">
      <c r="A97" s="12" t="s">
        <v>749</v>
      </c>
    </row>
    <row r="98" spans="1:11">
      <c r="A98" s="2" t="s">
        <v>750</v>
      </c>
    </row>
    <row r="100" spans="1:11">
      <c r="B100" s="3" t="s">
        <v>140</v>
      </c>
      <c r="C100" s="3" t="s">
        <v>141</v>
      </c>
      <c r="D100" s="3" t="s">
        <v>142</v>
      </c>
      <c r="E100" s="3" t="s">
        <v>143</v>
      </c>
      <c r="F100" s="3" t="s">
        <v>144</v>
      </c>
      <c r="G100" s="3" t="s">
        <v>149</v>
      </c>
      <c r="H100" s="3" t="s">
        <v>145</v>
      </c>
      <c r="I100" s="3" t="s">
        <v>146</v>
      </c>
      <c r="J100" s="3" t="s">
        <v>147</v>
      </c>
    </row>
    <row r="101" spans="1:11">
      <c r="A101" s="11" t="s">
        <v>172</v>
      </c>
      <c r="B101" s="33">
        <f>B66</f>
        <v>0</v>
      </c>
      <c r="C101" s="33">
        <f>C66</f>
        <v>0</v>
      </c>
      <c r="D101" s="33">
        <f>D66</f>
        <v>0</v>
      </c>
      <c r="E101" s="33">
        <f>E66</f>
        <v>0</v>
      </c>
      <c r="F101" s="33">
        <f>F66</f>
        <v>0</v>
      </c>
      <c r="G101" s="33">
        <f>G66</f>
        <v>0</v>
      </c>
      <c r="H101" s="33">
        <f>H66</f>
        <v>0</v>
      </c>
      <c r="I101" s="33">
        <f>I66</f>
        <v>0</v>
      </c>
      <c r="J101" s="33">
        <f>J66</f>
        <v>0</v>
      </c>
      <c r="K101" s="10"/>
    </row>
    <row r="102" spans="1:11">
      <c r="A102" s="11" t="s">
        <v>173</v>
      </c>
      <c r="B102" s="33">
        <f>B$30</f>
        <v>0</v>
      </c>
      <c r="C102" s="33">
        <f>C$30</f>
        <v>0</v>
      </c>
      <c r="D102" s="33">
        <f>D$30</f>
        <v>0</v>
      </c>
      <c r="E102" s="33">
        <f>E$30</f>
        <v>0</v>
      </c>
      <c r="F102" s="33">
        <f>F$30</f>
        <v>0</v>
      </c>
      <c r="G102" s="33">
        <f>G$30</f>
        <v>0</v>
      </c>
      <c r="H102" s="33">
        <f>H$30</f>
        <v>0</v>
      </c>
      <c r="I102" s="33">
        <f>I$30</f>
        <v>0</v>
      </c>
      <c r="J102" s="33">
        <f>J$30</f>
        <v>0</v>
      </c>
      <c r="K102" s="10"/>
    </row>
    <row r="103" spans="1:11">
      <c r="A103" s="11" t="s">
        <v>210</v>
      </c>
      <c r="B103" s="33">
        <f>B$12</f>
        <v>0</v>
      </c>
      <c r="C103" s="33">
        <f>C$12</f>
        <v>0</v>
      </c>
      <c r="D103" s="33">
        <f>D$12</f>
        <v>0</v>
      </c>
      <c r="E103" s="33">
        <f>E$12</f>
        <v>0</v>
      </c>
      <c r="F103" s="33">
        <f>F$12</f>
        <v>0</v>
      </c>
      <c r="G103" s="33">
        <f>G$12</f>
        <v>0</v>
      </c>
      <c r="H103" s="33">
        <f>H$12</f>
        <v>0</v>
      </c>
      <c r="I103" s="33">
        <f>I$12</f>
        <v>0</v>
      </c>
      <c r="J103" s="33">
        <f>J$12</f>
        <v>0</v>
      </c>
      <c r="K103" s="10"/>
    </row>
    <row r="104" spans="1:11">
      <c r="A104" s="11" t="s">
        <v>174</v>
      </c>
      <c r="B104" s="33">
        <f>B69</f>
        <v>0</v>
      </c>
      <c r="C104" s="33">
        <f>C69</f>
        <v>0</v>
      </c>
      <c r="D104" s="33">
        <f>D69</f>
        <v>0</v>
      </c>
      <c r="E104" s="33">
        <f>E69</f>
        <v>0</v>
      </c>
      <c r="F104" s="33">
        <f>F69</f>
        <v>0</v>
      </c>
      <c r="G104" s="33">
        <f>G69</f>
        <v>0</v>
      </c>
      <c r="H104" s="33">
        <f>H69</f>
        <v>0</v>
      </c>
      <c r="I104" s="33">
        <f>I69</f>
        <v>0</v>
      </c>
      <c r="J104" s="33">
        <f>J69</f>
        <v>0</v>
      </c>
      <c r="K104" s="10"/>
    </row>
    <row r="105" spans="1:11">
      <c r="A105" s="11" t="s">
        <v>175</v>
      </c>
      <c r="B105" s="33">
        <f>B$31</f>
        <v>0</v>
      </c>
      <c r="C105" s="33">
        <f>C$31</f>
        <v>0</v>
      </c>
      <c r="D105" s="33">
        <f>D$31</f>
        <v>0</v>
      </c>
      <c r="E105" s="33">
        <f>E$31</f>
        <v>0</v>
      </c>
      <c r="F105" s="33">
        <f>F$31</f>
        <v>0</v>
      </c>
      <c r="G105" s="33">
        <f>G$31</f>
        <v>0</v>
      </c>
      <c r="H105" s="33">
        <f>H$31</f>
        <v>0</v>
      </c>
      <c r="I105" s="33">
        <f>I$31</f>
        <v>0</v>
      </c>
      <c r="J105" s="33">
        <f>J$31</f>
        <v>0</v>
      </c>
      <c r="K105" s="10"/>
    </row>
    <row r="106" spans="1:11">
      <c r="A106" s="11" t="s">
        <v>211</v>
      </c>
      <c r="B106" s="33">
        <f>B$13</f>
        <v>0</v>
      </c>
      <c r="C106" s="33">
        <f>C$13</f>
        <v>0</v>
      </c>
      <c r="D106" s="33">
        <f>D$13</f>
        <v>0</v>
      </c>
      <c r="E106" s="33">
        <f>E$13</f>
        <v>0</v>
      </c>
      <c r="F106" s="33">
        <f>F$13</f>
        <v>0</v>
      </c>
      <c r="G106" s="33">
        <f>G$13</f>
        <v>0</v>
      </c>
      <c r="H106" s="33">
        <f>H$13</f>
        <v>0</v>
      </c>
      <c r="I106" s="33">
        <f>I$13</f>
        <v>0</v>
      </c>
      <c r="J106" s="33">
        <f>J$13</f>
        <v>0</v>
      </c>
      <c r="K106" s="10"/>
    </row>
    <row r="107" spans="1:11">
      <c r="A107" s="11" t="s">
        <v>176</v>
      </c>
      <c r="B107" s="33">
        <f>B$32</f>
        <v>0</v>
      </c>
      <c r="C107" s="33">
        <f>C$32</f>
        <v>0</v>
      </c>
      <c r="D107" s="33">
        <f>D$32</f>
        <v>0</v>
      </c>
      <c r="E107" s="33">
        <f>E$32</f>
        <v>0</v>
      </c>
      <c r="F107" s="33">
        <f>F$32</f>
        <v>0</v>
      </c>
      <c r="G107" s="33">
        <f>G$32</f>
        <v>0</v>
      </c>
      <c r="H107" s="33">
        <f>H$32</f>
        <v>0</v>
      </c>
      <c r="I107" s="33">
        <f>I$32</f>
        <v>0</v>
      </c>
      <c r="J107" s="33">
        <f>J$32</f>
        <v>0</v>
      </c>
      <c r="K107" s="10"/>
    </row>
    <row r="108" spans="1:11">
      <c r="A108" s="11" t="s">
        <v>177</v>
      </c>
      <c r="B108" s="33">
        <f>B$33</f>
        <v>0</v>
      </c>
      <c r="C108" s="33">
        <f>C$33</f>
        <v>0</v>
      </c>
      <c r="D108" s="33">
        <f>D$33</f>
        <v>0</v>
      </c>
      <c r="E108" s="33">
        <f>E$33</f>
        <v>0</v>
      </c>
      <c r="F108" s="33">
        <f>F$33</f>
        <v>0</v>
      </c>
      <c r="G108" s="33">
        <f>G$33</f>
        <v>0</v>
      </c>
      <c r="H108" s="33">
        <f>H$33</f>
        <v>0</v>
      </c>
      <c r="I108" s="33">
        <f>I$33</f>
        <v>0</v>
      </c>
      <c r="J108" s="33">
        <f>J$33</f>
        <v>0</v>
      </c>
      <c r="K108" s="10"/>
    </row>
    <row r="109" spans="1:11">
      <c r="A109" s="11" t="s">
        <v>191</v>
      </c>
      <c r="B109" s="33">
        <f>B$34</f>
        <v>0</v>
      </c>
      <c r="C109" s="33">
        <f>C$34</f>
        <v>0</v>
      </c>
      <c r="D109" s="33">
        <f>D$34</f>
        <v>0</v>
      </c>
      <c r="E109" s="33">
        <f>E$34</f>
        <v>0</v>
      </c>
      <c r="F109" s="33">
        <f>F$34</f>
        <v>0</v>
      </c>
      <c r="G109" s="33">
        <f>G$34</f>
        <v>0</v>
      </c>
      <c r="H109" s="33">
        <f>H$34</f>
        <v>0</v>
      </c>
      <c r="I109" s="33">
        <f>I$34</f>
        <v>0</v>
      </c>
      <c r="J109" s="33">
        <f>J$34</f>
        <v>0</v>
      </c>
      <c r="K109" s="10"/>
    </row>
    <row r="110" spans="1:11">
      <c r="A110" s="11" t="s">
        <v>178</v>
      </c>
      <c r="B110" s="33">
        <f>B$49</f>
        <v>0</v>
      </c>
      <c r="C110" s="33">
        <f>C$49</f>
        <v>0</v>
      </c>
      <c r="D110" s="33">
        <f>D$49</f>
        <v>0</v>
      </c>
      <c r="E110" s="33">
        <f>E$49</f>
        <v>0</v>
      </c>
      <c r="F110" s="33">
        <f>F$49</f>
        <v>0</v>
      </c>
      <c r="G110" s="33">
        <f>G$49</f>
        <v>0</v>
      </c>
      <c r="H110" s="33">
        <f>H$49</f>
        <v>0</v>
      </c>
      <c r="I110" s="33">
        <f>I$49</f>
        <v>0</v>
      </c>
      <c r="J110" s="33">
        <f>J$49</f>
        <v>0</v>
      </c>
      <c r="K110" s="10"/>
    </row>
    <row r="111" spans="1:11">
      <c r="A111" s="11" t="s">
        <v>179</v>
      </c>
      <c r="B111" s="33">
        <f>B$50</f>
        <v>0</v>
      </c>
      <c r="C111" s="33">
        <f>C$50</f>
        <v>0</v>
      </c>
      <c r="D111" s="33">
        <f>D$50</f>
        <v>0</v>
      </c>
      <c r="E111" s="33">
        <f>E$50</f>
        <v>0</v>
      </c>
      <c r="F111" s="33">
        <f>F$50</f>
        <v>0</v>
      </c>
      <c r="G111" s="33">
        <f>G$50</f>
        <v>0</v>
      </c>
      <c r="H111" s="33">
        <f>H$50</f>
        <v>0</v>
      </c>
      <c r="I111" s="33">
        <f>I$50</f>
        <v>0</v>
      </c>
      <c r="J111" s="33">
        <f>J$50</f>
        <v>0</v>
      </c>
      <c r="K111" s="10"/>
    </row>
    <row r="112" spans="1:11">
      <c r="A112" s="11" t="s">
        <v>192</v>
      </c>
      <c r="B112" s="33">
        <f>B$51</f>
        <v>0</v>
      </c>
      <c r="C112" s="33">
        <f>C$51</f>
        <v>0</v>
      </c>
      <c r="D112" s="33">
        <f>D$51</f>
        <v>0</v>
      </c>
      <c r="E112" s="33">
        <f>E$51</f>
        <v>0</v>
      </c>
      <c r="F112" s="33">
        <f>F$51</f>
        <v>0</v>
      </c>
      <c r="G112" s="33">
        <f>G$51</f>
        <v>0</v>
      </c>
      <c r="H112" s="33">
        <f>H$51</f>
        <v>0</v>
      </c>
      <c r="I112" s="33">
        <f>I$51</f>
        <v>0</v>
      </c>
      <c r="J112" s="33">
        <f>J$51</f>
        <v>0</v>
      </c>
      <c r="K112" s="10"/>
    </row>
    <row r="113" spans="1:11">
      <c r="A113" s="11" t="s">
        <v>212</v>
      </c>
      <c r="B113" s="33">
        <f>B$14</f>
        <v>0</v>
      </c>
      <c r="C113" s="33">
        <f>C$14</f>
        <v>0</v>
      </c>
      <c r="D113" s="33">
        <f>D$14</f>
        <v>0</v>
      </c>
      <c r="E113" s="33">
        <f>E$14</f>
        <v>0</v>
      </c>
      <c r="F113" s="33">
        <f>F$14</f>
        <v>0</v>
      </c>
      <c r="G113" s="33">
        <f>G$14</f>
        <v>0</v>
      </c>
      <c r="H113" s="33">
        <f>H$14</f>
        <v>0</v>
      </c>
      <c r="I113" s="33">
        <f>I$14</f>
        <v>0</v>
      </c>
      <c r="J113" s="33">
        <f>J$14</f>
        <v>0</v>
      </c>
      <c r="K113" s="10"/>
    </row>
    <row r="114" spans="1:11">
      <c r="A114" s="11" t="s">
        <v>213</v>
      </c>
      <c r="B114" s="33">
        <f>B$15</f>
        <v>0</v>
      </c>
      <c r="C114" s="33">
        <f>C$15</f>
        <v>0</v>
      </c>
      <c r="D114" s="33">
        <f>D$15</f>
        <v>0</v>
      </c>
      <c r="E114" s="33">
        <f>E$15</f>
        <v>0</v>
      </c>
      <c r="F114" s="33">
        <f>F$15</f>
        <v>0</v>
      </c>
      <c r="G114" s="33">
        <f>G$15</f>
        <v>0</v>
      </c>
      <c r="H114" s="33">
        <f>H$15</f>
        <v>0</v>
      </c>
      <c r="I114" s="33">
        <f>I$15</f>
        <v>0</v>
      </c>
      <c r="J114" s="33">
        <f>J$15</f>
        <v>0</v>
      </c>
      <c r="K114" s="10"/>
    </row>
    <row r="115" spans="1:11">
      <c r="A115" s="11" t="s">
        <v>214</v>
      </c>
      <c r="B115" s="33">
        <f>B$16</f>
        <v>0</v>
      </c>
      <c r="C115" s="33">
        <f>C$16</f>
        <v>0</v>
      </c>
      <c r="D115" s="33">
        <f>D$16</f>
        <v>0</v>
      </c>
      <c r="E115" s="33">
        <f>E$16</f>
        <v>0</v>
      </c>
      <c r="F115" s="33">
        <f>F$16</f>
        <v>0</v>
      </c>
      <c r="G115" s="33">
        <f>G$16</f>
        <v>0</v>
      </c>
      <c r="H115" s="33">
        <f>H$16</f>
        <v>0</v>
      </c>
      <c r="I115" s="33">
        <f>I$16</f>
        <v>0</v>
      </c>
      <c r="J115" s="33">
        <f>J$16</f>
        <v>0</v>
      </c>
      <c r="K115" s="10"/>
    </row>
    <row r="116" spans="1:11">
      <c r="A116" s="11" t="s">
        <v>215</v>
      </c>
      <c r="B116" s="33">
        <f>B$17</f>
        <v>0</v>
      </c>
      <c r="C116" s="33">
        <f>C$17</f>
        <v>0</v>
      </c>
      <c r="D116" s="33">
        <f>D$17</f>
        <v>0</v>
      </c>
      <c r="E116" s="33">
        <f>E$17</f>
        <v>0</v>
      </c>
      <c r="F116" s="33">
        <f>F$17</f>
        <v>0</v>
      </c>
      <c r="G116" s="33">
        <f>G$17</f>
        <v>0</v>
      </c>
      <c r="H116" s="33">
        <f>H$17</f>
        <v>0</v>
      </c>
      <c r="I116" s="33">
        <f>I$17</f>
        <v>0</v>
      </c>
      <c r="J116" s="33">
        <f>J$17</f>
        <v>0</v>
      </c>
      <c r="K116" s="10"/>
    </row>
    <row r="117" spans="1:11">
      <c r="A117" s="11" t="s">
        <v>216</v>
      </c>
      <c r="B117" s="33">
        <f>B$55</f>
        <v>0</v>
      </c>
      <c r="C117" s="33">
        <f>C$55</f>
        <v>0</v>
      </c>
      <c r="D117" s="33">
        <f>D$55</f>
        <v>0</v>
      </c>
      <c r="E117" s="33">
        <f>E$55</f>
        <v>0</v>
      </c>
      <c r="F117" s="33">
        <f>F$55</f>
        <v>0</v>
      </c>
      <c r="G117" s="33">
        <f>G$55</f>
        <v>0</v>
      </c>
      <c r="H117" s="33">
        <f>H$55</f>
        <v>0</v>
      </c>
      <c r="I117" s="33">
        <f>I$55</f>
        <v>0</v>
      </c>
      <c r="J117" s="33">
        <f>J$55</f>
        <v>0</v>
      </c>
      <c r="K117" s="10"/>
    </row>
    <row r="118" spans="1:11">
      <c r="A118" s="11" t="s">
        <v>180</v>
      </c>
      <c r="B118" s="33">
        <f>B83</f>
        <v>0</v>
      </c>
      <c r="C118" s="33">
        <f>C83</f>
        <v>0</v>
      </c>
      <c r="D118" s="33">
        <f>D83</f>
        <v>0</v>
      </c>
      <c r="E118" s="33">
        <f>E83</f>
        <v>0</v>
      </c>
      <c r="F118" s="33">
        <f>F83</f>
        <v>0</v>
      </c>
      <c r="G118" s="33">
        <f>G83</f>
        <v>0</v>
      </c>
      <c r="H118" s="33">
        <f>H83</f>
        <v>0</v>
      </c>
      <c r="I118" s="33">
        <f>I83</f>
        <v>0</v>
      </c>
      <c r="J118" s="33">
        <f>J83</f>
        <v>0</v>
      </c>
      <c r="K118" s="10"/>
    </row>
    <row r="119" spans="1:11">
      <c r="A119" s="11" t="s">
        <v>181</v>
      </c>
      <c r="B119" s="33">
        <f>B84</f>
        <v>0</v>
      </c>
      <c r="C119" s="33">
        <f>C84</f>
        <v>0</v>
      </c>
      <c r="D119" s="33">
        <f>D84</f>
        <v>0</v>
      </c>
      <c r="E119" s="33">
        <f>E84</f>
        <v>0</v>
      </c>
      <c r="F119" s="33">
        <f>F84</f>
        <v>0</v>
      </c>
      <c r="G119" s="33">
        <f>G84</f>
        <v>0</v>
      </c>
      <c r="H119" s="33">
        <f>H84</f>
        <v>0</v>
      </c>
      <c r="I119" s="33">
        <f>I84</f>
        <v>0</v>
      </c>
      <c r="J119" s="33">
        <f>J84</f>
        <v>0</v>
      </c>
      <c r="K119" s="10"/>
    </row>
    <row r="120" spans="1:11">
      <c r="A120" s="11" t="s">
        <v>182</v>
      </c>
      <c r="B120" s="33">
        <f>B85</f>
        <v>0</v>
      </c>
      <c r="C120" s="33">
        <f>C85</f>
        <v>0</v>
      </c>
      <c r="D120" s="33">
        <f>D85</f>
        <v>0</v>
      </c>
      <c r="E120" s="33">
        <f>E85</f>
        <v>0</v>
      </c>
      <c r="F120" s="33">
        <f>F85</f>
        <v>0</v>
      </c>
      <c r="G120" s="33">
        <f>G85</f>
        <v>0</v>
      </c>
      <c r="H120" s="33">
        <f>H85</f>
        <v>0</v>
      </c>
      <c r="I120" s="33">
        <f>I85</f>
        <v>0</v>
      </c>
      <c r="J120" s="33">
        <f>J85</f>
        <v>0</v>
      </c>
      <c r="K120" s="10"/>
    </row>
    <row r="121" spans="1:11">
      <c r="A121" s="11" t="s">
        <v>183</v>
      </c>
      <c r="B121" s="33">
        <f>B$52</f>
        <v>0</v>
      </c>
      <c r="C121" s="33">
        <f>C$52</f>
        <v>0</v>
      </c>
      <c r="D121" s="33">
        <f>D$52</f>
        <v>0</v>
      </c>
      <c r="E121" s="33">
        <f>E$52</f>
        <v>0</v>
      </c>
      <c r="F121" s="33">
        <f>F$52</f>
        <v>0</v>
      </c>
      <c r="G121" s="33">
        <f>G$52</f>
        <v>0</v>
      </c>
      <c r="H121" s="33">
        <f>H$52</f>
        <v>0</v>
      </c>
      <c r="I121" s="33">
        <f>I$52</f>
        <v>0</v>
      </c>
      <c r="J121" s="33">
        <f>J$52</f>
        <v>0</v>
      </c>
      <c r="K121" s="10"/>
    </row>
    <row r="122" spans="1:11">
      <c r="A122" s="11" t="s">
        <v>184</v>
      </c>
      <c r="B122" s="33">
        <f>B87</f>
        <v>0</v>
      </c>
      <c r="C122" s="33">
        <f>C87</f>
        <v>0</v>
      </c>
      <c r="D122" s="33">
        <f>D87</f>
        <v>0</v>
      </c>
      <c r="E122" s="33">
        <f>E87</f>
        <v>0</v>
      </c>
      <c r="F122" s="33">
        <f>F87</f>
        <v>0</v>
      </c>
      <c r="G122" s="33">
        <f>G87</f>
        <v>0</v>
      </c>
      <c r="H122" s="33">
        <f>H87</f>
        <v>0</v>
      </c>
      <c r="I122" s="33">
        <f>I87</f>
        <v>0</v>
      </c>
      <c r="J122" s="33">
        <f>J87</f>
        <v>0</v>
      </c>
      <c r="K122" s="10"/>
    </row>
    <row r="123" spans="1:11">
      <c r="A123" s="11" t="s">
        <v>185</v>
      </c>
      <c r="B123" s="33">
        <f>B$53</f>
        <v>0</v>
      </c>
      <c r="C123" s="33">
        <f>C$53</f>
        <v>0</v>
      </c>
      <c r="D123" s="33">
        <f>D$53</f>
        <v>0</v>
      </c>
      <c r="E123" s="33">
        <f>E$53</f>
        <v>0</v>
      </c>
      <c r="F123" s="33">
        <f>F$53</f>
        <v>0</v>
      </c>
      <c r="G123" s="33">
        <f>G$53</f>
        <v>0</v>
      </c>
      <c r="H123" s="33">
        <f>H$53</f>
        <v>0</v>
      </c>
      <c r="I123" s="33">
        <f>I$53</f>
        <v>0</v>
      </c>
      <c r="J123" s="33">
        <f>J$53</f>
        <v>0</v>
      </c>
      <c r="K123" s="10"/>
    </row>
    <row r="124" spans="1:11">
      <c r="A124" s="11" t="s">
        <v>193</v>
      </c>
      <c r="B124" s="33">
        <f>B89</f>
        <v>0</v>
      </c>
      <c r="C124" s="33">
        <f>C89</f>
        <v>0</v>
      </c>
      <c r="D124" s="33">
        <f>D89</f>
        <v>0</v>
      </c>
      <c r="E124" s="33">
        <f>E89</f>
        <v>0</v>
      </c>
      <c r="F124" s="33">
        <f>F89</f>
        <v>0</v>
      </c>
      <c r="G124" s="33">
        <f>G89</f>
        <v>0</v>
      </c>
      <c r="H124" s="33">
        <f>H89</f>
        <v>0</v>
      </c>
      <c r="I124" s="33">
        <f>I89</f>
        <v>0</v>
      </c>
      <c r="J124" s="33">
        <f>J89</f>
        <v>0</v>
      </c>
      <c r="K124" s="10"/>
    </row>
    <row r="125" spans="1:11">
      <c r="A125" s="11" t="s">
        <v>194</v>
      </c>
      <c r="B125" s="33">
        <f>B$54</f>
        <v>0</v>
      </c>
      <c r="C125" s="33">
        <f>C$54</f>
        <v>0</v>
      </c>
      <c r="D125" s="33">
        <f>D$54</f>
        <v>0</v>
      </c>
      <c r="E125" s="33">
        <f>E$54</f>
        <v>0</v>
      </c>
      <c r="F125" s="33">
        <f>F$54</f>
        <v>0</v>
      </c>
      <c r="G125" s="33">
        <f>G$54</f>
        <v>0</v>
      </c>
      <c r="H125" s="33">
        <f>H$54</f>
        <v>0</v>
      </c>
      <c r="I125" s="33">
        <f>I$54</f>
        <v>0</v>
      </c>
      <c r="J125" s="33">
        <f>J$54</f>
        <v>0</v>
      </c>
      <c r="K125" s="10"/>
    </row>
    <row r="127" spans="1:11">
      <c r="A127" s="1" t="s">
        <v>751</v>
      </c>
    </row>
    <row r="128" spans="1:11">
      <c r="A128" s="2" t="s">
        <v>349</v>
      </c>
    </row>
    <row r="129" spans="1:11">
      <c r="A129" s="12" t="s">
        <v>752</v>
      </c>
    </row>
    <row r="130" spans="1:11">
      <c r="A130" s="2" t="s">
        <v>753</v>
      </c>
    </row>
    <row r="132" spans="1:11">
      <c r="B132" s="3" t="s">
        <v>140</v>
      </c>
      <c r="C132" s="3" t="s">
        <v>141</v>
      </c>
      <c r="D132" s="3" t="s">
        <v>142</v>
      </c>
      <c r="E132" s="3" t="s">
        <v>143</v>
      </c>
      <c r="F132" s="3" t="s">
        <v>144</v>
      </c>
      <c r="G132" s="3" t="s">
        <v>149</v>
      </c>
      <c r="H132" s="3" t="s">
        <v>145</v>
      </c>
      <c r="I132" s="3" t="s">
        <v>146</v>
      </c>
      <c r="J132" s="3" t="s">
        <v>147</v>
      </c>
    </row>
    <row r="133" spans="1:11">
      <c r="A133" s="11" t="s">
        <v>754</v>
      </c>
      <c r="B133" s="17">
        <f>SUM(B$101:B$125)</f>
        <v>0</v>
      </c>
      <c r="C133" s="17">
        <f>SUM(C$101:C$125)</f>
        <v>0</v>
      </c>
      <c r="D133" s="17">
        <f>SUM(D$101:D$125)</f>
        <v>0</v>
      </c>
      <c r="E133" s="17">
        <f>SUM(E$101:E$125)</f>
        <v>0</v>
      </c>
      <c r="F133" s="17">
        <f>SUM(F$101:F$125)</f>
        <v>0</v>
      </c>
      <c r="G133" s="17">
        <f>SUM(G$101:G$125)</f>
        <v>0</v>
      </c>
      <c r="H133" s="17">
        <f>SUM(H$101:H$125)</f>
        <v>0</v>
      </c>
      <c r="I133" s="17">
        <f>SUM(I$101:I$125)</f>
        <v>0</v>
      </c>
      <c r="J133" s="17">
        <f>SUM(J$101:J$125)</f>
        <v>0</v>
      </c>
      <c r="K133" s="10"/>
    </row>
  </sheetData>
  <sheetProtection sheet="1" objects="1" scenarios="1"/>
  <hyperlinks>
    <hyperlink ref="A5" location="'Loads'!B281" display="x1 = 2305. Rate 1 units (MWh) (in Equivalent volume for each end user)"/>
    <hyperlink ref="A6" location="'Multi'!B566" display="x2 = 2437. Unit rate 1 pseudo load coefficient by network level (combined)"/>
    <hyperlink ref="A7" location="'LAFs'!B228" display="x3 = 2012. Loss adjustment factors between end user meter reading and each network level, scaled by network use"/>
    <hyperlink ref="A8" location="'Input'!F57" display="x4 = 1010. Days in the charging year (in Financial and general assumptions)"/>
    <hyperlink ref="A21" location="'Loads'!B281" display="x1 = 2305. Rate 1 units (MWh) (in Equivalent volume for each end user)"/>
    <hyperlink ref="A22" location="'Multi'!B566" display="x2 = 2437. Unit rate 1 pseudo load coefficient by network level (combined)"/>
    <hyperlink ref="A23" location="'Loads'!C281" display="x3 = 2305. Rate 2 units (MWh) (in Equivalent volume for each end user)"/>
    <hyperlink ref="A24" location="'Multi'!B592" display="x4 = 2438. Unit rate 2 pseudo load coefficient by network level (combined)"/>
    <hyperlink ref="A25" location="'LAFs'!B228" display="x5 = 2012. Loss adjustment factors between end user meter reading and each network level, scaled by network use"/>
    <hyperlink ref="A26" location="'Input'!F57" display="x6 = 1010. Days in the charging year (in Financial and general assumptions)"/>
    <hyperlink ref="A38" location="'Loads'!B281" display="x1 = 2305. Rate 1 units (MWh) (in Equivalent volume for each end user)"/>
    <hyperlink ref="A39" location="'Multi'!B566" display="x2 = 2437. Unit rate 1 pseudo load coefficient by network level (combined)"/>
    <hyperlink ref="A40" location="'Loads'!C281" display="x3 = 2305. Rate 2 units (MWh) (in Equivalent volume for each end user)"/>
    <hyperlink ref="A41" location="'Multi'!B592" display="x4 = 2438. Unit rate 2 pseudo load coefficient by network level (combined)"/>
    <hyperlink ref="A42" location="'Loads'!D281" display="x5 = 2305. Rate 3 units (MWh) (in Equivalent volume for each end user)"/>
    <hyperlink ref="A43" location="'Multi'!B612" display="x6 = 2439. Unit rate 3 pseudo load coefficient by network level (combined)"/>
    <hyperlink ref="A44" location="'LAFs'!B228" display="x7 = 2012. Loss adjustment factors between end user meter reading and each network level, scaled by network use"/>
    <hyperlink ref="A45" location="'Input'!F57" display="x8 = 1010. Days in the charging year (in Financial and general assumptions)"/>
    <hyperlink ref="A59" location="'Multi'!B108" display="x1 = 2407. All units (MWh)"/>
    <hyperlink ref="A60" location="'Loads'!B43" display="x2 = 2302. Load coefficient"/>
    <hyperlink ref="A61" location="'LAFs'!B228" display="x3 = 2012. Loss adjustment factors between end user meter reading and each network level, scaled by network use"/>
    <hyperlink ref="A62" location="'Input'!F57" display="x4 = 1010. Days in the charging year (in Financial and general assumptions)"/>
    <hyperlink ref="A94" location="'SMD'!B11" display="x1 = 2501. Contributions of users on one-rate multi tariffs to system simultaneous maximum load by network level (kW)"/>
    <hyperlink ref="A95" location="'SMD'!B29" display="x2 = 2502. Contributions of users on two-rate multi tariffs to system simultaneous maximum load by network level (kW)"/>
    <hyperlink ref="A96" location="'SMD'!B48" display="x3 = 2503. Contributions of users on three-rate multi tariffs to system simultaneous maximum load by network level (kW)"/>
    <hyperlink ref="A97" location="'SMD'!B65" display="x4 = 2504. Estimated contributions of users on each tariff to system simultaneous maximum load by network level (kW)"/>
    <hyperlink ref="A129" location="'SMD'!B100" display="x1 = 2505. Contributions of users on each tariff to system simultaneous maximum load by network level (kW)"/>
  </hyperlink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2">
      <c r="A1" s="1">
        <f>"Forecast aggregate maximum load"&amp;" for "&amp;'Input'!B7&amp;" in "&amp;'Input'!C7&amp;" ("&amp;'Input'!D7&amp;")"</f>
        <v>0</v>
      </c>
    </row>
    <row r="3" spans="1:12">
      <c r="A3" s="1" t="s">
        <v>755</v>
      </c>
    </row>
    <row r="4" spans="1:12">
      <c r="A4" s="2" t="s">
        <v>349</v>
      </c>
    </row>
    <row r="5" spans="1:12">
      <c r="A5" s="12" t="s">
        <v>756</v>
      </c>
    </row>
    <row r="6" spans="1:12">
      <c r="A6" s="12" t="s">
        <v>757</v>
      </c>
    </row>
    <row r="7" spans="1:12">
      <c r="A7" s="12" t="s">
        <v>758</v>
      </c>
    </row>
    <row r="8" spans="1:12">
      <c r="A8" s="26" t="s">
        <v>352</v>
      </c>
      <c r="B8" s="2" t="s">
        <v>353</v>
      </c>
      <c r="C8" s="2"/>
      <c r="D8" s="2"/>
      <c r="E8" s="2"/>
      <c r="F8" s="2"/>
      <c r="G8" s="2"/>
      <c r="H8" s="2"/>
      <c r="I8" s="2"/>
      <c r="J8" s="26" t="s">
        <v>353</v>
      </c>
      <c r="K8" s="26" t="s">
        <v>482</v>
      </c>
    </row>
    <row r="9" spans="1:12">
      <c r="A9" s="26" t="s">
        <v>355</v>
      </c>
      <c r="B9" s="2" t="s">
        <v>356</v>
      </c>
      <c r="C9" s="2"/>
      <c r="D9" s="2"/>
      <c r="E9" s="2"/>
      <c r="F9" s="2"/>
      <c r="G9" s="2"/>
      <c r="H9" s="2"/>
      <c r="I9" s="2"/>
      <c r="J9" s="26" t="s">
        <v>356</v>
      </c>
      <c r="K9" s="26" t="s">
        <v>759</v>
      </c>
    </row>
    <row r="11" spans="1:12">
      <c r="B11" s="27" t="s">
        <v>760</v>
      </c>
      <c r="C11" s="27"/>
      <c r="D11" s="27"/>
      <c r="E11" s="27"/>
      <c r="F11" s="27"/>
      <c r="G11" s="27"/>
      <c r="H11" s="27"/>
      <c r="I11" s="27"/>
    </row>
    <row r="12" spans="1:12">
      <c r="B12" s="3" t="s">
        <v>140</v>
      </c>
      <c r="C12" s="3" t="s">
        <v>141</v>
      </c>
      <c r="D12" s="3" t="s">
        <v>142</v>
      </c>
      <c r="E12" s="3" t="s">
        <v>143</v>
      </c>
      <c r="F12" s="3" t="s">
        <v>144</v>
      </c>
      <c r="G12" s="3" t="s">
        <v>145</v>
      </c>
      <c r="H12" s="3" t="s">
        <v>146</v>
      </c>
      <c r="I12" s="3" t="s">
        <v>147</v>
      </c>
      <c r="J12" s="3" t="s">
        <v>761</v>
      </c>
      <c r="K12" s="3" t="s">
        <v>762</v>
      </c>
    </row>
    <row r="13" spans="1:12">
      <c r="A13" s="11" t="s">
        <v>172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1</v>
      </c>
      <c r="J13" s="5">
        <v>0</v>
      </c>
      <c r="K13" s="6">
        <f>$C13+0.2*'Input'!$B$80*$J13</f>
        <v>0</v>
      </c>
      <c r="L13" s="10"/>
    </row>
    <row r="14" spans="1:12">
      <c r="A14" s="11" t="s">
        <v>173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1</v>
      </c>
      <c r="J14" s="5">
        <v>0</v>
      </c>
      <c r="K14" s="6">
        <f>$C14+0.2*'Input'!$B$80*$J14</f>
        <v>0</v>
      </c>
      <c r="L14" s="10"/>
    </row>
    <row r="15" spans="1:12">
      <c r="A15" s="11" t="s">
        <v>210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1</v>
      </c>
      <c r="J15" s="5">
        <v>0</v>
      </c>
      <c r="K15" s="6">
        <f>$C15+0.2*'Input'!$B$80*$J15</f>
        <v>0</v>
      </c>
      <c r="L15" s="10"/>
    </row>
    <row r="16" spans="1:12">
      <c r="A16" s="11" t="s">
        <v>174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1</v>
      </c>
      <c r="J16" s="5">
        <v>0</v>
      </c>
      <c r="K16" s="6">
        <f>$C16+0.2*'Input'!$B$80*$J16</f>
        <v>0</v>
      </c>
      <c r="L16" s="10"/>
    </row>
    <row r="17" spans="1:12">
      <c r="A17" s="11" t="s">
        <v>175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1</v>
      </c>
      <c r="J17" s="5">
        <v>0</v>
      </c>
      <c r="K17" s="6">
        <f>$C17+0.2*'Input'!$B$80*$J17</f>
        <v>0</v>
      </c>
      <c r="L17" s="10"/>
    </row>
    <row r="18" spans="1:12">
      <c r="A18" s="11" t="s">
        <v>211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1</v>
      </c>
      <c r="J18" s="5">
        <v>0</v>
      </c>
      <c r="K18" s="6">
        <f>$C18+0.2*'Input'!$B$80*$J18</f>
        <v>0</v>
      </c>
      <c r="L18" s="10"/>
    </row>
    <row r="19" spans="1:12">
      <c r="A19" s="11" t="s">
        <v>176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1</v>
      </c>
      <c r="J19" s="5">
        <v>0</v>
      </c>
      <c r="K19" s="6">
        <f>$C19+0.2*'Input'!$B$80*$J19</f>
        <v>0</v>
      </c>
      <c r="L19" s="10"/>
    </row>
    <row r="20" spans="1:12">
      <c r="A20" s="11" t="s">
        <v>177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1</v>
      </c>
      <c r="I20" s="5">
        <v>0</v>
      </c>
      <c r="J20" s="5">
        <v>0</v>
      </c>
      <c r="K20" s="6">
        <f>$C20+0.2*'Input'!$B$80*$J20</f>
        <v>0</v>
      </c>
      <c r="L20" s="10"/>
    </row>
    <row r="21" spans="1:12">
      <c r="A21" s="11" t="s">
        <v>191</v>
      </c>
      <c r="B21" s="5">
        <v>0</v>
      </c>
      <c r="C21" s="5">
        <v>0</v>
      </c>
      <c r="D21" s="5">
        <v>0</v>
      </c>
      <c r="E21" s="5">
        <v>0.2</v>
      </c>
      <c r="F21" s="5">
        <v>1</v>
      </c>
      <c r="G21" s="5">
        <v>1</v>
      </c>
      <c r="H21" s="5">
        <v>0</v>
      </c>
      <c r="I21" s="5">
        <v>0</v>
      </c>
      <c r="J21" s="5">
        <v>1</v>
      </c>
      <c r="K21" s="6">
        <f>$C21+0.2*'Input'!$B$80*$J21</f>
        <v>0</v>
      </c>
      <c r="L21" s="10"/>
    </row>
    <row r="22" spans="1:12">
      <c r="A22" s="11" t="s">
        <v>178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0.2</v>
      </c>
      <c r="H22" s="5">
        <v>1</v>
      </c>
      <c r="I22" s="5">
        <v>1</v>
      </c>
      <c r="J22" s="5">
        <v>0</v>
      </c>
      <c r="K22" s="6">
        <f>$C22+0.2*'Input'!$B$80*$J22</f>
        <v>0</v>
      </c>
      <c r="L22" s="10"/>
    </row>
    <row r="23" spans="1:12">
      <c r="A23" s="11" t="s">
        <v>179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1</v>
      </c>
      <c r="H23" s="5">
        <v>1</v>
      </c>
      <c r="I23" s="5">
        <v>0</v>
      </c>
      <c r="J23" s="5">
        <v>0</v>
      </c>
      <c r="K23" s="6">
        <f>$C23+0.2*'Input'!$B$80*$J23</f>
        <v>0</v>
      </c>
      <c r="L23" s="10"/>
    </row>
    <row r="24" spans="1:12">
      <c r="A24" s="11" t="s">
        <v>192</v>
      </c>
      <c r="B24" s="5">
        <v>0</v>
      </c>
      <c r="C24" s="5">
        <v>0</v>
      </c>
      <c r="D24" s="5">
        <v>0</v>
      </c>
      <c r="E24" s="5">
        <v>0.2</v>
      </c>
      <c r="F24" s="5">
        <v>1</v>
      </c>
      <c r="G24" s="5">
        <v>1</v>
      </c>
      <c r="H24" s="5">
        <v>0</v>
      </c>
      <c r="I24" s="5">
        <v>0</v>
      </c>
      <c r="J24" s="5">
        <v>1</v>
      </c>
      <c r="K24" s="6">
        <f>$C24+0.2*'Input'!$B$80*$J24</f>
        <v>0</v>
      </c>
      <c r="L24" s="10"/>
    </row>
    <row r="25" spans="1:12">
      <c r="A25" s="11" t="s">
        <v>212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6">
        <f>$C25+0.2*'Input'!$B$80*$J25</f>
        <v>0</v>
      </c>
      <c r="L25" s="10"/>
    </row>
    <row r="26" spans="1:12">
      <c r="A26" s="11" t="s">
        <v>213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6">
        <f>$C26+0.2*'Input'!$B$80*$J26</f>
        <v>0</v>
      </c>
      <c r="L26" s="10"/>
    </row>
    <row r="27" spans="1:12">
      <c r="A27" s="11" t="s">
        <v>214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6">
        <f>$C27+0.2*'Input'!$B$80*$J27</f>
        <v>0</v>
      </c>
      <c r="L27" s="10"/>
    </row>
    <row r="28" spans="1:12">
      <c r="A28" s="11" t="s">
        <v>215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6">
        <f>$C28+0.2*'Input'!$B$80*$J28</f>
        <v>0</v>
      </c>
      <c r="L28" s="10"/>
    </row>
    <row r="29" spans="1:12">
      <c r="A29" s="11" t="s">
        <v>216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6">
        <f>$C29+0.2*'Input'!$B$80*$J29</f>
        <v>0</v>
      </c>
      <c r="L29" s="10"/>
    </row>
    <row r="31" spans="1:12">
      <c r="A31" s="1" t="s">
        <v>763</v>
      </c>
    </row>
    <row r="32" spans="1:12">
      <c r="A32" s="2" t="s">
        <v>349</v>
      </c>
    </row>
    <row r="33" spans="1:11">
      <c r="A33" s="12" t="s">
        <v>764</v>
      </c>
    </row>
    <row r="34" spans="1:11">
      <c r="A34" s="12" t="s">
        <v>765</v>
      </c>
    </row>
    <row r="35" spans="1:11">
      <c r="A35" s="12" t="s">
        <v>766</v>
      </c>
    </row>
    <row r="36" spans="1:11">
      <c r="A36" s="2" t="s">
        <v>392</v>
      </c>
    </row>
    <row r="38" spans="1:11">
      <c r="B38" s="3" t="s">
        <v>140</v>
      </c>
      <c r="C38" s="3" t="s">
        <v>141</v>
      </c>
      <c r="D38" s="3" t="s">
        <v>142</v>
      </c>
      <c r="E38" s="3" t="s">
        <v>143</v>
      </c>
      <c r="F38" s="3" t="s">
        <v>144</v>
      </c>
      <c r="G38" s="3" t="s">
        <v>149</v>
      </c>
      <c r="H38" s="3" t="s">
        <v>145</v>
      </c>
      <c r="I38" s="3" t="s">
        <v>146</v>
      </c>
      <c r="J38" s="3" t="s">
        <v>147</v>
      </c>
    </row>
    <row r="39" spans="1:11">
      <c r="A39" s="11" t="s">
        <v>172</v>
      </c>
      <c r="B39" s="7">
        <f>$B13</f>
        <v>0</v>
      </c>
      <c r="C39" s="7">
        <f>$K13</f>
        <v>0</v>
      </c>
      <c r="D39" s="7">
        <f>$D13</f>
        <v>0</v>
      </c>
      <c r="E39" s="7">
        <f>$E13</f>
        <v>0</v>
      </c>
      <c r="F39" s="7">
        <f>$F13</f>
        <v>0</v>
      </c>
      <c r="G39" s="5">
        <v>0</v>
      </c>
      <c r="H39" s="7">
        <f>$G13</f>
        <v>0</v>
      </c>
      <c r="I39" s="7">
        <f>$H13</f>
        <v>0</v>
      </c>
      <c r="J39" s="7">
        <f>$I13</f>
        <v>0</v>
      </c>
      <c r="K39" s="10"/>
    </row>
    <row r="40" spans="1:11">
      <c r="A40" s="11" t="s">
        <v>173</v>
      </c>
      <c r="B40" s="7">
        <f>$B14</f>
        <v>0</v>
      </c>
      <c r="C40" s="7">
        <f>$K14</f>
        <v>0</v>
      </c>
      <c r="D40" s="7">
        <f>$D14</f>
        <v>0</v>
      </c>
      <c r="E40" s="7">
        <f>$E14</f>
        <v>0</v>
      </c>
      <c r="F40" s="7">
        <f>$F14</f>
        <v>0</v>
      </c>
      <c r="G40" s="5">
        <v>0</v>
      </c>
      <c r="H40" s="7">
        <f>$G14</f>
        <v>0</v>
      </c>
      <c r="I40" s="7">
        <f>$H14</f>
        <v>0</v>
      </c>
      <c r="J40" s="7">
        <f>$I14</f>
        <v>0</v>
      </c>
      <c r="K40" s="10"/>
    </row>
    <row r="41" spans="1:11">
      <c r="A41" s="11" t="s">
        <v>210</v>
      </c>
      <c r="B41" s="7">
        <f>$B15</f>
        <v>0</v>
      </c>
      <c r="C41" s="7">
        <f>$K15</f>
        <v>0</v>
      </c>
      <c r="D41" s="7">
        <f>$D15</f>
        <v>0</v>
      </c>
      <c r="E41" s="7">
        <f>$E15</f>
        <v>0</v>
      </c>
      <c r="F41" s="7">
        <f>$F15</f>
        <v>0</v>
      </c>
      <c r="G41" s="5">
        <v>0</v>
      </c>
      <c r="H41" s="7">
        <f>$G15</f>
        <v>0</v>
      </c>
      <c r="I41" s="7">
        <f>$H15</f>
        <v>0</v>
      </c>
      <c r="J41" s="7">
        <f>$I15</f>
        <v>0</v>
      </c>
      <c r="K41" s="10"/>
    </row>
    <row r="42" spans="1:11">
      <c r="A42" s="11" t="s">
        <v>174</v>
      </c>
      <c r="B42" s="7">
        <f>$B16</f>
        <v>0</v>
      </c>
      <c r="C42" s="7">
        <f>$K16</f>
        <v>0</v>
      </c>
      <c r="D42" s="7">
        <f>$D16</f>
        <v>0</v>
      </c>
      <c r="E42" s="7">
        <f>$E16</f>
        <v>0</v>
      </c>
      <c r="F42" s="7">
        <f>$F16</f>
        <v>0</v>
      </c>
      <c r="G42" s="5">
        <v>0</v>
      </c>
      <c r="H42" s="7">
        <f>$G16</f>
        <v>0</v>
      </c>
      <c r="I42" s="7">
        <f>$H16</f>
        <v>0</v>
      </c>
      <c r="J42" s="7">
        <f>$I16</f>
        <v>0</v>
      </c>
      <c r="K42" s="10"/>
    </row>
    <row r="43" spans="1:11">
      <c r="A43" s="11" t="s">
        <v>175</v>
      </c>
      <c r="B43" s="7">
        <f>$B17</f>
        <v>0</v>
      </c>
      <c r="C43" s="7">
        <f>$K17</f>
        <v>0</v>
      </c>
      <c r="D43" s="7">
        <f>$D17</f>
        <v>0</v>
      </c>
      <c r="E43" s="7">
        <f>$E17</f>
        <v>0</v>
      </c>
      <c r="F43" s="7">
        <f>$F17</f>
        <v>0</v>
      </c>
      <c r="G43" s="5">
        <v>0</v>
      </c>
      <c r="H43" s="7">
        <f>$G17</f>
        <v>0</v>
      </c>
      <c r="I43" s="7">
        <f>$H17</f>
        <v>0</v>
      </c>
      <c r="J43" s="7">
        <f>$I17</f>
        <v>0</v>
      </c>
      <c r="K43" s="10"/>
    </row>
    <row r="44" spans="1:11">
      <c r="A44" s="11" t="s">
        <v>211</v>
      </c>
      <c r="B44" s="7">
        <f>$B18</f>
        <v>0</v>
      </c>
      <c r="C44" s="7">
        <f>$K18</f>
        <v>0</v>
      </c>
      <c r="D44" s="7">
        <f>$D18</f>
        <v>0</v>
      </c>
      <c r="E44" s="7">
        <f>$E18</f>
        <v>0</v>
      </c>
      <c r="F44" s="7">
        <f>$F18</f>
        <v>0</v>
      </c>
      <c r="G44" s="5">
        <v>0</v>
      </c>
      <c r="H44" s="7">
        <f>$G18</f>
        <v>0</v>
      </c>
      <c r="I44" s="7">
        <f>$H18</f>
        <v>0</v>
      </c>
      <c r="J44" s="7">
        <f>$I18</f>
        <v>0</v>
      </c>
      <c r="K44" s="10"/>
    </row>
    <row r="45" spans="1:11">
      <c r="A45" s="11" t="s">
        <v>176</v>
      </c>
      <c r="B45" s="7">
        <f>$B19</f>
        <v>0</v>
      </c>
      <c r="C45" s="7">
        <f>$K19</f>
        <v>0</v>
      </c>
      <c r="D45" s="7">
        <f>$D19</f>
        <v>0</v>
      </c>
      <c r="E45" s="7">
        <f>$E19</f>
        <v>0</v>
      </c>
      <c r="F45" s="7">
        <f>$F19</f>
        <v>0</v>
      </c>
      <c r="G45" s="5">
        <v>0</v>
      </c>
      <c r="H45" s="7">
        <f>$G19</f>
        <v>0</v>
      </c>
      <c r="I45" s="7">
        <f>$H19</f>
        <v>0</v>
      </c>
      <c r="J45" s="7">
        <f>$I19</f>
        <v>0</v>
      </c>
      <c r="K45" s="10"/>
    </row>
    <row r="46" spans="1:11">
      <c r="A46" s="11" t="s">
        <v>177</v>
      </c>
      <c r="B46" s="7">
        <f>$B20</f>
        <v>0</v>
      </c>
      <c r="C46" s="7">
        <f>$K20</f>
        <v>0</v>
      </c>
      <c r="D46" s="7">
        <f>$D20</f>
        <v>0</v>
      </c>
      <c r="E46" s="7">
        <f>$E20</f>
        <v>0</v>
      </c>
      <c r="F46" s="7">
        <f>$F20</f>
        <v>0</v>
      </c>
      <c r="G46" s="5">
        <v>0</v>
      </c>
      <c r="H46" s="7">
        <f>$G20</f>
        <v>0</v>
      </c>
      <c r="I46" s="7">
        <f>$H20</f>
        <v>0</v>
      </c>
      <c r="J46" s="7">
        <f>$I20</f>
        <v>0</v>
      </c>
      <c r="K46" s="10"/>
    </row>
    <row r="47" spans="1:11">
      <c r="A47" s="11" t="s">
        <v>191</v>
      </c>
      <c r="B47" s="7">
        <f>$B21</f>
        <v>0</v>
      </c>
      <c r="C47" s="7">
        <f>$K21</f>
        <v>0</v>
      </c>
      <c r="D47" s="7">
        <f>$D21</f>
        <v>0</v>
      </c>
      <c r="E47" s="7">
        <f>$E21</f>
        <v>0</v>
      </c>
      <c r="F47" s="7">
        <f>$F21</f>
        <v>0</v>
      </c>
      <c r="G47" s="5">
        <v>1</v>
      </c>
      <c r="H47" s="7">
        <f>$G21</f>
        <v>0</v>
      </c>
      <c r="I47" s="7">
        <f>$H21</f>
        <v>0</v>
      </c>
      <c r="J47" s="7">
        <f>$I21</f>
        <v>0</v>
      </c>
      <c r="K47" s="10"/>
    </row>
    <row r="48" spans="1:11">
      <c r="A48" s="11" t="s">
        <v>178</v>
      </c>
      <c r="B48" s="7">
        <f>$B22</f>
        <v>0</v>
      </c>
      <c r="C48" s="7">
        <f>$K22</f>
        <v>0</v>
      </c>
      <c r="D48" s="7">
        <f>$D22</f>
        <v>0</v>
      </c>
      <c r="E48" s="7">
        <f>$E22</f>
        <v>0</v>
      </c>
      <c r="F48" s="7">
        <f>$F22</f>
        <v>0</v>
      </c>
      <c r="G48" s="5">
        <v>0</v>
      </c>
      <c r="H48" s="7">
        <f>$G22</f>
        <v>0</v>
      </c>
      <c r="I48" s="7">
        <f>$H22</f>
        <v>0</v>
      </c>
      <c r="J48" s="7">
        <f>$I22</f>
        <v>0</v>
      </c>
      <c r="K48" s="10"/>
    </row>
    <row r="49" spans="1:11">
      <c r="A49" s="11" t="s">
        <v>179</v>
      </c>
      <c r="B49" s="7">
        <f>$B23</f>
        <v>0</v>
      </c>
      <c r="C49" s="7">
        <f>$K23</f>
        <v>0</v>
      </c>
      <c r="D49" s="7">
        <f>$D23</f>
        <v>0</v>
      </c>
      <c r="E49" s="7">
        <f>$E23</f>
        <v>0</v>
      </c>
      <c r="F49" s="7">
        <f>$F23</f>
        <v>0</v>
      </c>
      <c r="G49" s="5">
        <v>0</v>
      </c>
      <c r="H49" s="7">
        <f>$G23</f>
        <v>0</v>
      </c>
      <c r="I49" s="7">
        <f>$H23</f>
        <v>0</v>
      </c>
      <c r="J49" s="7">
        <f>$I23</f>
        <v>0</v>
      </c>
      <c r="K49" s="10"/>
    </row>
    <row r="50" spans="1:11">
      <c r="A50" s="11" t="s">
        <v>192</v>
      </c>
      <c r="B50" s="7">
        <f>$B24</f>
        <v>0</v>
      </c>
      <c r="C50" s="7">
        <f>$K24</f>
        <v>0</v>
      </c>
      <c r="D50" s="7">
        <f>$D24</f>
        <v>0</v>
      </c>
      <c r="E50" s="7">
        <f>$E24</f>
        <v>0</v>
      </c>
      <c r="F50" s="7">
        <f>$F24</f>
        <v>0</v>
      </c>
      <c r="G50" s="5">
        <v>1</v>
      </c>
      <c r="H50" s="7">
        <f>$G24</f>
        <v>0</v>
      </c>
      <c r="I50" s="7">
        <f>$H24</f>
        <v>0</v>
      </c>
      <c r="J50" s="7">
        <f>$I24</f>
        <v>0</v>
      </c>
      <c r="K50" s="10"/>
    </row>
    <row r="51" spans="1:11">
      <c r="A51" s="11" t="s">
        <v>212</v>
      </c>
      <c r="B51" s="7">
        <f>$B25</f>
        <v>0</v>
      </c>
      <c r="C51" s="7">
        <f>$K25</f>
        <v>0</v>
      </c>
      <c r="D51" s="7">
        <f>$D25</f>
        <v>0</v>
      </c>
      <c r="E51" s="7">
        <f>$E25</f>
        <v>0</v>
      </c>
      <c r="F51" s="7">
        <f>$F25</f>
        <v>0</v>
      </c>
      <c r="G51" s="5">
        <v>0</v>
      </c>
      <c r="H51" s="7">
        <f>$G25</f>
        <v>0</v>
      </c>
      <c r="I51" s="7">
        <f>$H25</f>
        <v>0</v>
      </c>
      <c r="J51" s="7">
        <f>$I25</f>
        <v>0</v>
      </c>
      <c r="K51" s="10"/>
    </row>
    <row r="52" spans="1:11">
      <c r="A52" s="11" t="s">
        <v>213</v>
      </c>
      <c r="B52" s="7">
        <f>$B26</f>
        <v>0</v>
      </c>
      <c r="C52" s="7">
        <f>$K26</f>
        <v>0</v>
      </c>
      <c r="D52" s="7">
        <f>$D26</f>
        <v>0</v>
      </c>
      <c r="E52" s="7">
        <f>$E26</f>
        <v>0</v>
      </c>
      <c r="F52" s="7">
        <f>$F26</f>
        <v>0</v>
      </c>
      <c r="G52" s="5">
        <v>0</v>
      </c>
      <c r="H52" s="7">
        <f>$G26</f>
        <v>0</v>
      </c>
      <c r="I52" s="7">
        <f>$H26</f>
        <v>0</v>
      </c>
      <c r="J52" s="7">
        <f>$I26</f>
        <v>0</v>
      </c>
      <c r="K52" s="10"/>
    </row>
    <row r="53" spans="1:11">
      <c r="A53" s="11" t="s">
        <v>214</v>
      </c>
      <c r="B53" s="7">
        <f>$B27</f>
        <v>0</v>
      </c>
      <c r="C53" s="7">
        <f>$K27</f>
        <v>0</v>
      </c>
      <c r="D53" s="7">
        <f>$D27</f>
        <v>0</v>
      </c>
      <c r="E53" s="7">
        <f>$E27</f>
        <v>0</v>
      </c>
      <c r="F53" s="7">
        <f>$F27</f>
        <v>0</v>
      </c>
      <c r="G53" s="5">
        <v>0</v>
      </c>
      <c r="H53" s="7">
        <f>$G27</f>
        <v>0</v>
      </c>
      <c r="I53" s="7">
        <f>$H27</f>
        <v>0</v>
      </c>
      <c r="J53" s="7">
        <f>$I27</f>
        <v>0</v>
      </c>
      <c r="K53" s="10"/>
    </row>
    <row r="54" spans="1:11">
      <c r="A54" s="11" t="s">
        <v>215</v>
      </c>
      <c r="B54" s="7">
        <f>$B28</f>
        <v>0</v>
      </c>
      <c r="C54" s="7">
        <f>$K28</f>
        <v>0</v>
      </c>
      <c r="D54" s="7">
        <f>$D28</f>
        <v>0</v>
      </c>
      <c r="E54" s="7">
        <f>$E28</f>
        <v>0</v>
      </c>
      <c r="F54" s="7">
        <f>$F28</f>
        <v>0</v>
      </c>
      <c r="G54" s="5">
        <v>0</v>
      </c>
      <c r="H54" s="7">
        <f>$G28</f>
        <v>0</v>
      </c>
      <c r="I54" s="7">
        <f>$H28</f>
        <v>0</v>
      </c>
      <c r="J54" s="7">
        <f>$I28</f>
        <v>0</v>
      </c>
      <c r="K54" s="10"/>
    </row>
    <row r="55" spans="1:11">
      <c r="A55" s="11" t="s">
        <v>216</v>
      </c>
      <c r="B55" s="7">
        <f>$B29</f>
        <v>0</v>
      </c>
      <c r="C55" s="7">
        <f>$K29</f>
        <v>0</v>
      </c>
      <c r="D55" s="7">
        <f>$D29</f>
        <v>0</v>
      </c>
      <c r="E55" s="7">
        <f>$E29</f>
        <v>0</v>
      </c>
      <c r="F55" s="7">
        <f>$F29</f>
        <v>0</v>
      </c>
      <c r="G55" s="5">
        <v>0</v>
      </c>
      <c r="H55" s="7">
        <f>$G29</f>
        <v>0</v>
      </c>
      <c r="I55" s="7">
        <f>$H29</f>
        <v>0</v>
      </c>
      <c r="J55" s="7">
        <f>$I29</f>
        <v>0</v>
      </c>
      <c r="K55" s="10"/>
    </row>
    <row r="57" spans="1:11">
      <c r="A57" s="1" t="s">
        <v>767</v>
      </c>
    </row>
    <row r="58" spans="1:11">
      <c r="A58" s="2" t="s">
        <v>349</v>
      </c>
    </row>
    <row r="59" spans="1:11">
      <c r="A59" s="12" t="s">
        <v>768</v>
      </c>
    </row>
    <row r="60" spans="1:11">
      <c r="A60" s="12" t="s">
        <v>769</v>
      </c>
    </row>
    <row r="61" spans="1:11">
      <c r="A61" s="12" t="s">
        <v>770</v>
      </c>
    </row>
    <row r="62" spans="1:11">
      <c r="A62" s="12" t="s">
        <v>771</v>
      </c>
    </row>
    <row r="63" spans="1:11">
      <c r="A63" s="2" t="s">
        <v>772</v>
      </c>
    </row>
    <row r="65" spans="1:11">
      <c r="B65" s="3" t="s">
        <v>140</v>
      </c>
      <c r="C65" s="3" t="s">
        <v>141</v>
      </c>
      <c r="D65" s="3" t="s">
        <v>142</v>
      </c>
      <c r="E65" s="3" t="s">
        <v>143</v>
      </c>
      <c r="F65" s="3" t="s">
        <v>144</v>
      </c>
      <c r="G65" s="3" t="s">
        <v>149</v>
      </c>
      <c r="H65" s="3" t="s">
        <v>145</v>
      </c>
      <c r="I65" s="3" t="s">
        <v>146</v>
      </c>
      <c r="J65" s="3" t="s">
        <v>147</v>
      </c>
    </row>
    <row r="66" spans="1:11">
      <c r="A66" s="11" t="s">
        <v>178</v>
      </c>
      <c r="B66" s="17">
        <f>'Loads'!$F$291*'Input'!$E$58*B$48*'LAFs'!B$238</f>
        <v>0</v>
      </c>
      <c r="C66" s="17">
        <f>'Loads'!$F$291*'Input'!$E$58*C$48*'LAFs'!C$238</f>
        <v>0</v>
      </c>
      <c r="D66" s="17">
        <f>'Loads'!$F$291*'Input'!$E$58*D$48*'LAFs'!D$238</f>
        <v>0</v>
      </c>
      <c r="E66" s="17">
        <f>'Loads'!$F$291*'Input'!$E$58*E$48*'LAFs'!E$238</f>
        <v>0</v>
      </c>
      <c r="F66" s="17">
        <f>'Loads'!$F$291*'Input'!$E$58*F$48*'LAFs'!F$238</f>
        <v>0</v>
      </c>
      <c r="G66" s="17">
        <f>'Loads'!$F$291*'Input'!$E$58*G$48*'LAFs'!G$238</f>
        <v>0</v>
      </c>
      <c r="H66" s="17">
        <f>'Loads'!$F$291*'Input'!$E$58*H$48*'LAFs'!H$238</f>
        <v>0</v>
      </c>
      <c r="I66" s="17">
        <f>'Loads'!$F$291*'Input'!$E$58*I$48*'LAFs'!I$238</f>
        <v>0</v>
      </c>
      <c r="J66" s="17">
        <f>'Loads'!$F$291*'Input'!$E$58*J$48*'LAFs'!J$238</f>
        <v>0</v>
      </c>
      <c r="K66" s="10"/>
    </row>
    <row r="67" spans="1:11">
      <c r="A67" s="11" t="s">
        <v>179</v>
      </c>
      <c r="B67" s="17">
        <f>'Loads'!$F$292*'Input'!$E$58*B$49*'LAFs'!B$239</f>
        <v>0</v>
      </c>
      <c r="C67" s="17">
        <f>'Loads'!$F$292*'Input'!$E$58*C$49*'LAFs'!C$239</f>
        <v>0</v>
      </c>
      <c r="D67" s="17">
        <f>'Loads'!$F$292*'Input'!$E$58*D$49*'LAFs'!D$239</f>
        <v>0</v>
      </c>
      <c r="E67" s="17">
        <f>'Loads'!$F$292*'Input'!$E$58*E$49*'LAFs'!E$239</f>
        <v>0</v>
      </c>
      <c r="F67" s="17">
        <f>'Loads'!$F$292*'Input'!$E$58*F$49*'LAFs'!F$239</f>
        <v>0</v>
      </c>
      <c r="G67" s="17">
        <f>'Loads'!$F$292*'Input'!$E$58*G$49*'LAFs'!G$239</f>
        <v>0</v>
      </c>
      <c r="H67" s="17">
        <f>'Loads'!$F$292*'Input'!$E$58*H$49*'LAFs'!H$239</f>
        <v>0</v>
      </c>
      <c r="I67" s="17">
        <f>'Loads'!$F$292*'Input'!$E$58*I$49*'LAFs'!I$239</f>
        <v>0</v>
      </c>
      <c r="J67" s="17">
        <f>'Loads'!$F$292*'Input'!$E$58*J$49*'LAFs'!J$239</f>
        <v>0</v>
      </c>
      <c r="K67" s="10"/>
    </row>
    <row r="68" spans="1:11">
      <c r="A68" s="11" t="s">
        <v>192</v>
      </c>
      <c r="B68" s="17">
        <f>'Loads'!$F$293*'Input'!$E$58*B$50*'LAFs'!B$240</f>
        <v>0</v>
      </c>
      <c r="C68" s="17">
        <f>'Loads'!$F$293*'Input'!$E$58*C$50*'LAFs'!C$240</f>
        <v>0</v>
      </c>
      <c r="D68" s="17">
        <f>'Loads'!$F$293*'Input'!$E$58*D$50*'LAFs'!D$240</f>
        <v>0</v>
      </c>
      <c r="E68" s="17">
        <f>'Loads'!$F$293*'Input'!$E$58*E$50*'LAFs'!E$240</f>
        <v>0</v>
      </c>
      <c r="F68" s="17">
        <f>'Loads'!$F$293*'Input'!$E$58*F$50*'LAFs'!F$240</f>
        <v>0</v>
      </c>
      <c r="G68" s="17">
        <f>'Loads'!$F$293*'Input'!$E$58*G$50*'LAFs'!G$240</f>
        <v>0</v>
      </c>
      <c r="H68" s="17">
        <f>'Loads'!$F$293*'Input'!$E$58*H$50*'LAFs'!H$240</f>
        <v>0</v>
      </c>
      <c r="I68" s="17">
        <f>'Loads'!$F$293*'Input'!$E$58*I$50*'LAFs'!I$240</f>
        <v>0</v>
      </c>
      <c r="J68" s="17">
        <f>'Loads'!$F$293*'Input'!$E$58*J$50*'LAFs'!J$240</f>
        <v>0</v>
      </c>
      <c r="K68" s="10"/>
    </row>
    <row r="70" spans="1:11">
      <c r="A70" s="1" t="s">
        <v>773</v>
      </c>
    </row>
    <row r="71" spans="1:11">
      <c r="A71" s="2" t="s">
        <v>349</v>
      </c>
    </row>
    <row r="72" spans="1:11">
      <c r="A72" s="12" t="s">
        <v>572</v>
      </c>
    </row>
    <row r="73" spans="1:11">
      <c r="A73" s="12" t="s">
        <v>497</v>
      </c>
    </row>
    <row r="74" spans="1:11">
      <c r="A74" s="12" t="s">
        <v>770</v>
      </c>
    </row>
    <row r="75" spans="1:11">
      <c r="A75" s="12" t="s">
        <v>771</v>
      </c>
    </row>
    <row r="76" spans="1:11">
      <c r="A76" s="12" t="s">
        <v>663</v>
      </c>
    </row>
    <row r="77" spans="1:11">
      <c r="A77" s="2" t="s">
        <v>774</v>
      </c>
    </row>
    <row r="79" spans="1:11">
      <c r="B79" s="3" t="s">
        <v>140</v>
      </c>
      <c r="C79" s="3" t="s">
        <v>141</v>
      </c>
      <c r="D79" s="3" t="s">
        <v>142</v>
      </c>
      <c r="E79" s="3" t="s">
        <v>143</v>
      </c>
      <c r="F79" s="3" t="s">
        <v>144</v>
      </c>
      <c r="G79" s="3" t="s">
        <v>149</v>
      </c>
      <c r="H79" s="3" t="s">
        <v>145</v>
      </c>
      <c r="I79" s="3" t="s">
        <v>146</v>
      </c>
      <c r="J79" s="3" t="s">
        <v>147</v>
      </c>
    </row>
    <row r="80" spans="1:11">
      <c r="A80" s="11" t="s">
        <v>172</v>
      </c>
      <c r="B80" s="17">
        <f>'Multi'!$B$109/'Input'!$C158*B39*'LAFs'!B$229/(24*'Input'!$F$58)*1000</f>
        <v>0</v>
      </c>
      <c r="C80" s="17">
        <f>'Multi'!$B$109/'Input'!$C158*C39*'LAFs'!C$229/(24*'Input'!$F$58)*1000</f>
        <v>0</v>
      </c>
      <c r="D80" s="17">
        <f>'Multi'!$B$109/'Input'!$C158*D39*'LAFs'!D$229/(24*'Input'!$F$58)*1000</f>
        <v>0</v>
      </c>
      <c r="E80" s="17">
        <f>'Multi'!$B$109/'Input'!$C158*E39*'LAFs'!E$229/(24*'Input'!$F$58)*1000</f>
        <v>0</v>
      </c>
      <c r="F80" s="17">
        <f>'Multi'!$B$109/'Input'!$C158*F39*'LAFs'!F$229/(24*'Input'!$F$58)*1000</f>
        <v>0</v>
      </c>
      <c r="G80" s="17">
        <f>'Multi'!$B$109/'Input'!$C158*G39*'LAFs'!G$229/(24*'Input'!$F$58)*1000</f>
        <v>0</v>
      </c>
      <c r="H80" s="17">
        <f>'Multi'!$B$109/'Input'!$C158*H39*'LAFs'!H$229/(24*'Input'!$F$58)*1000</f>
        <v>0</v>
      </c>
      <c r="I80" s="17">
        <f>'Multi'!$B$109/'Input'!$C158*I39*'LAFs'!I$229/(24*'Input'!$F$58)*1000</f>
        <v>0</v>
      </c>
      <c r="J80" s="17">
        <f>'Multi'!$B$109/'Input'!$C158*J39*'LAFs'!J$229/(24*'Input'!$F$58)*1000</f>
        <v>0</v>
      </c>
      <c r="K80" s="10"/>
    </row>
    <row r="81" spans="1:11">
      <c r="A81" s="11" t="s">
        <v>173</v>
      </c>
      <c r="B81" s="17">
        <f>'Multi'!$B$110/'Input'!$C159*B40*'LAFs'!B$230/(24*'Input'!$F$58)*1000</f>
        <v>0</v>
      </c>
      <c r="C81" s="17">
        <f>'Multi'!$B$110/'Input'!$C159*C40*'LAFs'!C$230/(24*'Input'!$F$58)*1000</f>
        <v>0</v>
      </c>
      <c r="D81" s="17">
        <f>'Multi'!$B$110/'Input'!$C159*D40*'LAFs'!D$230/(24*'Input'!$F$58)*1000</f>
        <v>0</v>
      </c>
      <c r="E81" s="17">
        <f>'Multi'!$B$110/'Input'!$C159*E40*'LAFs'!E$230/(24*'Input'!$F$58)*1000</f>
        <v>0</v>
      </c>
      <c r="F81" s="17">
        <f>'Multi'!$B$110/'Input'!$C159*F40*'LAFs'!F$230/(24*'Input'!$F$58)*1000</f>
        <v>0</v>
      </c>
      <c r="G81" s="17">
        <f>'Multi'!$B$110/'Input'!$C159*G40*'LAFs'!G$230/(24*'Input'!$F$58)*1000</f>
        <v>0</v>
      </c>
      <c r="H81" s="17">
        <f>'Multi'!$B$110/'Input'!$C159*H40*'LAFs'!H$230/(24*'Input'!$F$58)*1000</f>
        <v>0</v>
      </c>
      <c r="I81" s="17">
        <f>'Multi'!$B$110/'Input'!$C159*I40*'LAFs'!I$230/(24*'Input'!$F$58)*1000</f>
        <v>0</v>
      </c>
      <c r="J81" s="17">
        <f>'Multi'!$B$110/'Input'!$C159*J40*'LAFs'!J$230/(24*'Input'!$F$58)*1000</f>
        <v>0</v>
      </c>
      <c r="K81" s="10"/>
    </row>
    <row r="82" spans="1:11">
      <c r="A82" s="11" t="s">
        <v>210</v>
      </c>
      <c r="B82" s="17">
        <f>'Multi'!$B$111/'Input'!$C160*B41*'LAFs'!B$231/(24*'Input'!$F$58)*1000</f>
        <v>0</v>
      </c>
      <c r="C82" s="17">
        <f>'Multi'!$B$111/'Input'!$C160*C41*'LAFs'!C$231/(24*'Input'!$F$58)*1000</f>
        <v>0</v>
      </c>
      <c r="D82" s="17">
        <f>'Multi'!$B$111/'Input'!$C160*D41*'LAFs'!D$231/(24*'Input'!$F$58)*1000</f>
        <v>0</v>
      </c>
      <c r="E82" s="17">
        <f>'Multi'!$B$111/'Input'!$C160*E41*'LAFs'!E$231/(24*'Input'!$F$58)*1000</f>
        <v>0</v>
      </c>
      <c r="F82" s="17">
        <f>'Multi'!$B$111/'Input'!$C160*F41*'LAFs'!F$231/(24*'Input'!$F$58)*1000</f>
        <v>0</v>
      </c>
      <c r="G82" s="17">
        <f>'Multi'!$B$111/'Input'!$C160*G41*'LAFs'!G$231/(24*'Input'!$F$58)*1000</f>
        <v>0</v>
      </c>
      <c r="H82" s="17">
        <f>'Multi'!$B$111/'Input'!$C160*H41*'LAFs'!H$231/(24*'Input'!$F$58)*1000</f>
        <v>0</v>
      </c>
      <c r="I82" s="17">
        <f>'Multi'!$B$111/'Input'!$C160*I41*'LAFs'!I$231/(24*'Input'!$F$58)*1000</f>
        <v>0</v>
      </c>
      <c r="J82" s="17">
        <f>'Multi'!$B$111/'Input'!$C160*J41*'LAFs'!J$231/(24*'Input'!$F$58)*1000</f>
        <v>0</v>
      </c>
      <c r="K82" s="10"/>
    </row>
    <row r="83" spans="1:11">
      <c r="A83" s="11" t="s">
        <v>174</v>
      </c>
      <c r="B83" s="17">
        <f>'Multi'!$B$112/'Input'!$C161*B42*'LAFs'!B$232/(24*'Input'!$F$58)*1000</f>
        <v>0</v>
      </c>
      <c r="C83" s="17">
        <f>'Multi'!$B$112/'Input'!$C161*C42*'LAFs'!C$232/(24*'Input'!$F$58)*1000</f>
        <v>0</v>
      </c>
      <c r="D83" s="17">
        <f>'Multi'!$B$112/'Input'!$C161*D42*'LAFs'!D$232/(24*'Input'!$F$58)*1000</f>
        <v>0</v>
      </c>
      <c r="E83" s="17">
        <f>'Multi'!$B$112/'Input'!$C161*E42*'LAFs'!E$232/(24*'Input'!$F$58)*1000</f>
        <v>0</v>
      </c>
      <c r="F83" s="17">
        <f>'Multi'!$B$112/'Input'!$C161*F42*'LAFs'!F$232/(24*'Input'!$F$58)*1000</f>
        <v>0</v>
      </c>
      <c r="G83" s="17">
        <f>'Multi'!$B$112/'Input'!$C161*G42*'LAFs'!G$232/(24*'Input'!$F$58)*1000</f>
        <v>0</v>
      </c>
      <c r="H83" s="17">
        <f>'Multi'!$B$112/'Input'!$C161*H42*'LAFs'!H$232/(24*'Input'!$F$58)*1000</f>
        <v>0</v>
      </c>
      <c r="I83" s="17">
        <f>'Multi'!$B$112/'Input'!$C161*I42*'LAFs'!I$232/(24*'Input'!$F$58)*1000</f>
        <v>0</v>
      </c>
      <c r="J83" s="17">
        <f>'Multi'!$B$112/'Input'!$C161*J42*'LAFs'!J$232/(24*'Input'!$F$58)*1000</f>
        <v>0</v>
      </c>
      <c r="K83" s="10"/>
    </row>
    <row r="84" spans="1:11">
      <c r="A84" s="11" t="s">
        <v>175</v>
      </c>
      <c r="B84" s="17">
        <f>'Multi'!$B$113/'Input'!$C162*B43*'LAFs'!B$233/(24*'Input'!$F$58)*1000</f>
        <v>0</v>
      </c>
      <c r="C84" s="17">
        <f>'Multi'!$B$113/'Input'!$C162*C43*'LAFs'!C$233/(24*'Input'!$F$58)*1000</f>
        <v>0</v>
      </c>
      <c r="D84" s="17">
        <f>'Multi'!$B$113/'Input'!$C162*D43*'LAFs'!D$233/(24*'Input'!$F$58)*1000</f>
        <v>0</v>
      </c>
      <c r="E84" s="17">
        <f>'Multi'!$B$113/'Input'!$C162*E43*'LAFs'!E$233/(24*'Input'!$F$58)*1000</f>
        <v>0</v>
      </c>
      <c r="F84" s="17">
        <f>'Multi'!$B$113/'Input'!$C162*F43*'LAFs'!F$233/(24*'Input'!$F$58)*1000</f>
        <v>0</v>
      </c>
      <c r="G84" s="17">
        <f>'Multi'!$B$113/'Input'!$C162*G43*'LAFs'!G$233/(24*'Input'!$F$58)*1000</f>
        <v>0</v>
      </c>
      <c r="H84" s="17">
        <f>'Multi'!$B$113/'Input'!$C162*H43*'LAFs'!H$233/(24*'Input'!$F$58)*1000</f>
        <v>0</v>
      </c>
      <c r="I84" s="17">
        <f>'Multi'!$B$113/'Input'!$C162*I43*'LAFs'!I$233/(24*'Input'!$F$58)*1000</f>
        <v>0</v>
      </c>
      <c r="J84" s="17">
        <f>'Multi'!$B$113/'Input'!$C162*J43*'LAFs'!J$233/(24*'Input'!$F$58)*1000</f>
        <v>0</v>
      </c>
      <c r="K84" s="10"/>
    </row>
    <row r="85" spans="1:11">
      <c r="A85" s="11" t="s">
        <v>211</v>
      </c>
      <c r="B85" s="17">
        <f>'Multi'!$B$114/'Input'!$C163*B44*'LAFs'!B$234/(24*'Input'!$F$58)*1000</f>
        <v>0</v>
      </c>
      <c r="C85" s="17">
        <f>'Multi'!$B$114/'Input'!$C163*C44*'LAFs'!C$234/(24*'Input'!$F$58)*1000</f>
        <v>0</v>
      </c>
      <c r="D85" s="17">
        <f>'Multi'!$B$114/'Input'!$C163*D44*'LAFs'!D$234/(24*'Input'!$F$58)*1000</f>
        <v>0</v>
      </c>
      <c r="E85" s="17">
        <f>'Multi'!$B$114/'Input'!$C163*E44*'LAFs'!E$234/(24*'Input'!$F$58)*1000</f>
        <v>0</v>
      </c>
      <c r="F85" s="17">
        <f>'Multi'!$B$114/'Input'!$C163*F44*'LAFs'!F$234/(24*'Input'!$F$58)*1000</f>
        <v>0</v>
      </c>
      <c r="G85" s="17">
        <f>'Multi'!$B$114/'Input'!$C163*G44*'LAFs'!G$234/(24*'Input'!$F$58)*1000</f>
        <v>0</v>
      </c>
      <c r="H85" s="17">
        <f>'Multi'!$B$114/'Input'!$C163*H44*'LAFs'!H$234/(24*'Input'!$F$58)*1000</f>
        <v>0</v>
      </c>
      <c r="I85" s="17">
        <f>'Multi'!$B$114/'Input'!$C163*I44*'LAFs'!I$234/(24*'Input'!$F$58)*1000</f>
        <v>0</v>
      </c>
      <c r="J85" s="17">
        <f>'Multi'!$B$114/'Input'!$C163*J44*'LAFs'!J$234/(24*'Input'!$F$58)*1000</f>
        <v>0</v>
      </c>
      <c r="K85" s="10"/>
    </row>
    <row r="86" spans="1:11">
      <c r="A86" s="11" t="s">
        <v>176</v>
      </c>
      <c r="B86" s="17">
        <f>'Multi'!$B$115/'Input'!$C164*B45*'LAFs'!B$235/(24*'Input'!$F$58)*1000</f>
        <v>0</v>
      </c>
      <c r="C86" s="17">
        <f>'Multi'!$B$115/'Input'!$C164*C45*'LAFs'!C$235/(24*'Input'!$F$58)*1000</f>
        <v>0</v>
      </c>
      <c r="D86" s="17">
        <f>'Multi'!$B$115/'Input'!$C164*D45*'LAFs'!D$235/(24*'Input'!$F$58)*1000</f>
        <v>0</v>
      </c>
      <c r="E86" s="17">
        <f>'Multi'!$B$115/'Input'!$C164*E45*'LAFs'!E$235/(24*'Input'!$F$58)*1000</f>
        <v>0</v>
      </c>
      <c r="F86" s="17">
        <f>'Multi'!$B$115/'Input'!$C164*F45*'LAFs'!F$235/(24*'Input'!$F$58)*1000</f>
        <v>0</v>
      </c>
      <c r="G86" s="17">
        <f>'Multi'!$B$115/'Input'!$C164*G45*'LAFs'!G$235/(24*'Input'!$F$58)*1000</f>
        <v>0</v>
      </c>
      <c r="H86" s="17">
        <f>'Multi'!$B$115/'Input'!$C164*H45*'LAFs'!H$235/(24*'Input'!$F$58)*1000</f>
        <v>0</v>
      </c>
      <c r="I86" s="17">
        <f>'Multi'!$B$115/'Input'!$C164*I45*'LAFs'!I$235/(24*'Input'!$F$58)*1000</f>
        <v>0</v>
      </c>
      <c r="J86" s="17">
        <f>'Multi'!$B$115/'Input'!$C164*J45*'LAFs'!J$235/(24*'Input'!$F$58)*1000</f>
        <v>0</v>
      </c>
      <c r="K86" s="10"/>
    </row>
    <row r="87" spans="1:11">
      <c r="A87" s="11" t="s">
        <v>177</v>
      </c>
      <c r="B87" s="17">
        <f>'Multi'!$B$116/'Input'!$C165*B46*'LAFs'!B$236/(24*'Input'!$F$58)*1000</f>
        <v>0</v>
      </c>
      <c r="C87" s="17">
        <f>'Multi'!$B$116/'Input'!$C165*C46*'LAFs'!C$236/(24*'Input'!$F$58)*1000</f>
        <v>0</v>
      </c>
      <c r="D87" s="17">
        <f>'Multi'!$B$116/'Input'!$C165*D46*'LAFs'!D$236/(24*'Input'!$F$58)*1000</f>
        <v>0</v>
      </c>
      <c r="E87" s="17">
        <f>'Multi'!$B$116/'Input'!$C165*E46*'LAFs'!E$236/(24*'Input'!$F$58)*1000</f>
        <v>0</v>
      </c>
      <c r="F87" s="17">
        <f>'Multi'!$B$116/'Input'!$C165*F46*'LAFs'!F$236/(24*'Input'!$F$58)*1000</f>
        <v>0</v>
      </c>
      <c r="G87" s="17">
        <f>'Multi'!$B$116/'Input'!$C165*G46*'LAFs'!G$236/(24*'Input'!$F$58)*1000</f>
        <v>0</v>
      </c>
      <c r="H87" s="17">
        <f>'Multi'!$B$116/'Input'!$C165*H46*'LAFs'!H$236/(24*'Input'!$F$58)*1000</f>
        <v>0</v>
      </c>
      <c r="I87" s="17">
        <f>'Multi'!$B$116/'Input'!$C165*I46*'LAFs'!I$236/(24*'Input'!$F$58)*1000</f>
        <v>0</v>
      </c>
      <c r="J87" s="17">
        <f>'Multi'!$B$116/'Input'!$C165*J46*'LAFs'!J$236/(24*'Input'!$F$58)*1000</f>
        <v>0</v>
      </c>
      <c r="K87" s="10"/>
    </row>
    <row r="88" spans="1:11">
      <c r="A88" s="11" t="s">
        <v>191</v>
      </c>
      <c r="B88" s="17">
        <f>'Multi'!$B$117/'Input'!$C166*B47*'LAFs'!B$237/(24*'Input'!$F$58)*1000</f>
        <v>0</v>
      </c>
      <c r="C88" s="17">
        <f>'Multi'!$B$117/'Input'!$C166*C47*'LAFs'!C$237/(24*'Input'!$F$58)*1000</f>
        <v>0</v>
      </c>
      <c r="D88" s="17">
        <f>'Multi'!$B$117/'Input'!$C166*D47*'LAFs'!D$237/(24*'Input'!$F$58)*1000</f>
        <v>0</v>
      </c>
      <c r="E88" s="17">
        <f>'Multi'!$B$117/'Input'!$C166*E47*'LAFs'!E$237/(24*'Input'!$F$58)*1000</f>
        <v>0</v>
      </c>
      <c r="F88" s="17">
        <f>'Multi'!$B$117/'Input'!$C166*F47*'LAFs'!F$237/(24*'Input'!$F$58)*1000</f>
        <v>0</v>
      </c>
      <c r="G88" s="17">
        <f>'Multi'!$B$117/'Input'!$C166*G47*'LAFs'!G$237/(24*'Input'!$F$58)*1000</f>
        <v>0</v>
      </c>
      <c r="H88" s="17">
        <f>'Multi'!$B$117/'Input'!$C166*H47*'LAFs'!H$237/(24*'Input'!$F$58)*1000</f>
        <v>0</v>
      </c>
      <c r="I88" s="17">
        <f>'Multi'!$B$117/'Input'!$C166*I47*'LAFs'!I$237/(24*'Input'!$F$58)*1000</f>
        <v>0</v>
      </c>
      <c r="J88" s="17">
        <f>'Multi'!$B$117/'Input'!$C166*J47*'LAFs'!J$237/(24*'Input'!$F$58)*1000</f>
        <v>0</v>
      </c>
      <c r="K88" s="10"/>
    </row>
    <row r="89" spans="1:11">
      <c r="A89" s="11" t="s">
        <v>178</v>
      </c>
      <c r="B89" s="17">
        <f>'Multi'!$B$118/'Input'!$C167*B48*'LAFs'!B$238/(24*'Input'!$F$58)*1000</f>
        <v>0</v>
      </c>
      <c r="C89" s="17">
        <f>'Multi'!$B$118/'Input'!$C167*C48*'LAFs'!C$238/(24*'Input'!$F$58)*1000</f>
        <v>0</v>
      </c>
      <c r="D89" s="17">
        <f>'Multi'!$B$118/'Input'!$C167*D48*'LAFs'!D$238/(24*'Input'!$F$58)*1000</f>
        <v>0</v>
      </c>
      <c r="E89" s="17">
        <f>'Multi'!$B$118/'Input'!$C167*E48*'LAFs'!E$238/(24*'Input'!$F$58)*1000</f>
        <v>0</v>
      </c>
      <c r="F89" s="17">
        <f>'Multi'!$B$118/'Input'!$C167*F48*'LAFs'!F$238/(24*'Input'!$F$58)*1000</f>
        <v>0</v>
      </c>
      <c r="G89" s="17">
        <f>'Multi'!$B$118/'Input'!$C167*G48*'LAFs'!G$238/(24*'Input'!$F$58)*1000</f>
        <v>0</v>
      </c>
      <c r="H89" s="17">
        <f>'Multi'!$B$118/'Input'!$C167*H48*'LAFs'!H$238/(24*'Input'!$F$58)*1000</f>
        <v>0</v>
      </c>
      <c r="I89" s="17">
        <f>'Multi'!$B$118/'Input'!$C167*I48*'LAFs'!I$238/(24*'Input'!$F$58)*1000</f>
        <v>0</v>
      </c>
      <c r="J89" s="17">
        <f>'Multi'!$B$118/'Input'!$C167*J48*'LAFs'!J$238/(24*'Input'!$F$58)*1000</f>
        <v>0</v>
      </c>
      <c r="K89" s="10"/>
    </row>
    <row r="90" spans="1:11">
      <c r="A90" s="11" t="s">
        <v>179</v>
      </c>
      <c r="B90" s="17">
        <f>'Multi'!$B$119/'Input'!$C168*B49*'LAFs'!B$239/(24*'Input'!$F$58)*1000</f>
        <v>0</v>
      </c>
      <c r="C90" s="17">
        <f>'Multi'!$B$119/'Input'!$C168*C49*'LAFs'!C$239/(24*'Input'!$F$58)*1000</f>
        <v>0</v>
      </c>
      <c r="D90" s="17">
        <f>'Multi'!$B$119/'Input'!$C168*D49*'LAFs'!D$239/(24*'Input'!$F$58)*1000</f>
        <v>0</v>
      </c>
      <c r="E90" s="17">
        <f>'Multi'!$B$119/'Input'!$C168*E49*'LAFs'!E$239/(24*'Input'!$F$58)*1000</f>
        <v>0</v>
      </c>
      <c r="F90" s="17">
        <f>'Multi'!$B$119/'Input'!$C168*F49*'LAFs'!F$239/(24*'Input'!$F$58)*1000</f>
        <v>0</v>
      </c>
      <c r="G90" s="17">
        <f>'Multi'!$B$119/'Input'!$C168*G49*'LAFs'!G$239/(24*'Input'!$F$58)*1000</f>
        <v>0</v>
      </c>
      <c r="H90" s="17">
        <f>'Multi'!$B$119/'Input'!$C168*H49*'LAFs'!H$239/(24*'Input'!$F$58)*1000</f>
        <v>0</v>
      </c>
      <c r="I90" s="17">
        <f>'Multi'!$B$119/'Input'!$C168*I49*'LAFs'!I$239/(24*'Input'!$F$58)*1000</f>
        <v>0</v>
      </c>
      <c r="J90" s="17">
        <f>'Multi'!$B$119/'Input'!$C168*J49*'LAFs'!J$239/(24*'Input'!$F$58)*1000</f>
        <v>0</v>
      </c>
      <c r="K90" s="10"/>
    </row>
    <row r="91" spans="1:11">
      <c r="A91" s="11" t="s">
        <v>192</v>
      </c>
      <c r="B91" s="17">
        <f>'Multi'!$B$120/'Input'!$C169*B50*'LAFs'!B$240/(24*'Input'!$F$58)*1000</f>
        <v>0</v>
      </c>
      <c r="C91" s="17">
        <f>'Multi'!$B$120/'Input'!$C169*C50*'LAFs'!C$240/(24*'Input'!$F$58)*1000</f>
        <v>0</v>
      </c>
      <c r="D91" s="17">
        <f>'Multi'!$B$120/'Input'!$C169*D50*'LAFs'!D$240/(24*'Input'!$F$58)*1000</f>
        <v>0</v>
      </c>
      <c r="E91" s="17">
        <f>'Multi'!$B$120/'Input'!$C169*E50*'LAFs'!E$240/(24*'Input'!$F$58)*1000</f>
        <v>0</v>
      </c>
      <c r="F91" s="17">
        <f>'Multi'!$B$120/'Input'!$C169*F50*'LAFs'!F$240/(24*'Input'!$F$58)*1000</f>
        <v>0</v>
      </c>
      <c r="G91" s="17">
        <f>'Multi'!$B$120/'Input'!$C169*G50*'LAFs'!G$240/(24*'Input'!$F$58)*1000</f>
        <v>0</v>
      </c>
      <c r="H91" s="17">
        <f>'Multi'!$B$120/'Input'!$C169*H50*'LAFs'!H$240/(24*'Input'!$F$58)*1000</f>
        <v>0</v>
      </c>
      <c r="I91" s="17">
        <f>'Multi'!$B$120/'Input'!$C169*I50*'LAFs'!I$240/(24*'Input'!$F$58)*1000</f>
        <v>0</v>
      </c>
      <c r="J91" s="17">
        <f>'Multi'!$B$120/'Input'!$C169*J50*'LAFs'!J$240/(24*'Input'!$F$58)*1000</f>
        <v>0</v>
      </c>
      <c r="K91" s="10"/>
    </row>
    <row r="92" spans="1:11">
      <c r="A92" s="11" t="s">
        <v>212</v>
      </c>
      <c r="B92" s="17">
        <f>'Multi'!$B$121/'Input'!$C170*B51*'LAFs'!B$241/(24*'Input'!$F$58)*1000</f>
        <v>0</v>
      </c>
      <c r="C92" s="17">
        <f>'Multi'!$B$121/'Input'!$C170*C51*'LAFs'!C$241/(24*'Input'!$F$58)*1000</f>
        <v>0</v>
      </c>
      <c r="D92" s="17">
        <f>'Multi'!$B$121/'Input'!$C170*D51*'LAFs'!D$241/(24*'Input'!$F$58)*1000</f>
        <v>0</v>
      </c>
      <c r="E92" s="17">
        <f>'Multi'!$B$121/'Input'!$C170*E51*'LAFs'!E$241/(24*'Input'!$F$58)*1000</f>
        <v>0</v>
      </c>
      <c r="F92" s="17">
        <f>'Multi'!$B$121/'Input'!$C170*F51*'LAFs'!F$241/(24*'Input'!$F$58)*1000</f>
        <v>0</v>
      </c>
      <c r="G92" s="17">
        <f>'Multi'!$B$121/'Input'!$C170*G51*'LAFs'!G$241/(24*'Input'!$F$58)*1000</f>
        <v>0</v>
      </c>
      <c r="H92" s="17">
        <f>'Multi'!$B$121/'Input'!$C170*H51*'LAFs'!H$241/(24*'Input'!$F$58)*1000</f>
        <v>0</v>
      </c>
      <c r="I92" s="17">
        <f>'Multi'!$B$121/'Input'!$C170*I51*'LAFs'!I$241/(24*'Input'!$F$58)*1000</f>
        <v>0</v>
      </c>
      <c r="J92" s="17">
        <f>'Multi'!$B$121/'Input'!$C170*J51*'LAFs'!J$241/(24*'Input'!$F$58)*1000</f>
        <v>0</v>
      </c>
      <c r="K92" s="10"/>
    </row>
    <row r="93" spans="1:11">
      <c r="A93" s="11" t="s">
        <v>213</v>
      </c>
      <c r="B93" s="17">
        <f>'Multi'!$B$122/'Input'!$C171*B52*'LAFs'!B$242/(24*'Input'!$F$58)*1000</f>
        <v>0</v>
      </c>
      <c r="C93" s="17">
        <f>'Multi'!$B$122/'Input'!$C171*C52*'LAFs'!C$242/(24*'Input'!$F$58)*1000</f>
        <v>0</v>
      </c>
      <c r="D93" s="17">
        <f>'Multi'!$B$122/'Input'!$C171*D52*'LAFs'!D$242/(24*'Input'!$F$58)*1000</f>
        <v>0</v>
      </c>
      <c r="E93" s="17">
        <f>'Multi'!$B$122/'Input'!$C171*E52*'LAFs'!E$242/(24*'Input'!$F$58)*1000</f>
        <v>0</v>
      </c>
      <c r="F93" s="17">
        <f>'Multi'!$B$122/'Input'!$C171*F52*'LAFs'!F$242/(24*'Input'!$F$58)*1000</f>
        <v>0</v>
      </c>
      <c r="G93" s="17">
        <f>'Multi'!$B$122/'Input'!$C171*G52*'LAFs'!G$242/(24*'Input'!$F$58)*1000</f>
        <v>0</v>
      </c>
      <c r="H93" s="17">
        <f>'Multi'!$B$122/'Input'!$C171*H52*'LAFs'!H$242/(24*'Input'!$F$58)*1000</f>
        <v>0</v>
      </c>
      <c r="I93" s="17">
        <f>'Multi'!$B$122/'Input'!$C171*I52*'LAFs'!I$242/(24*'Input'!$F$58)*1000</f>
        <v>0</v>
      </c>
      <c r="J93" s="17">
        <f>'Multi'!$B$122/'Input'!$C171*J52*'LAFs'!J$242/(24*'Input'!$F$58)*1000</f>
        <v>0</v>
      </c>
      <c r="K93" s="10"/>
    </row>
    <row r="94" spans="1:11">
      <c r="A94" s="11" t="s">
        <v>214</v>
      </c>
      <c r="B94" s="17">
        <f>'Multi'!$B$123/'Input'!$C172*B53*'LAFs'!B$243/(24*'Input'!$F$58)*1000</f>
        <v>0</v>
      </c>
      <c r="C94" s="17">
        <f>'Multi'!$B$123/'Input'!$C172*C53*'LAFs'!C$243/(24*'Input'!$F$58)*1000</f>
        <v>0</v>
      </c>
      <c r="D94" s="17">
        <f>'Multi'!$B$123/'Input'!$C172*D53*'LAFs'!D$243/(24*'Input'!$F$58)*1000</f>
        <v>0</v>
      </c>
      <c r="E94" s="17">
        <f>'Multi'!$B$123/'Input'!$C172*E53*'LAFs'!E$243/(24*'Input'!$F$58)*1000</f>
        <v>0</v>
      </c>
      <c r="F94" s="17">
        <f>'Multi'!$B$123/'Input'!$C172*F53*'LAFs'!F$243/(24*'Input'!$F$58)*1000</f>
        <v>0</v>
      </c>
      <c r="G94" s="17">
        <f>'Multi'!$B$123/'Input'!$C172*G53*'LAFs'!G$243/(24*'Input'!$F$58)*1000</f>
        <v>0</v>
      </c>
      <c r="H94" s="17">
        <f>'Multi'!$B$123/'Input'!$C172*H53*'LAFs'!H$243/(24*'Input'!$F$58)*1000</f>
        <v>0</v>
      </c>
      <c r="I94" s="17">
        <f>'Multi'!$B$123/'Input'!$C172*I53*'LAFs'!I$243/(24*'Input'!$F$58)*1000</f>
        <v>0</v>
      </c>
      <c r="J94" s="17">
        <f>'Multi'!$B$123/'Input'!$C172*J53*'LAFs'!J$243/(24*'Input'!$F$58)*1000</f>
        <v>0</v>
      </c>
      <c r="K94" s="10"/>
    </row>
    <row r="95" spans="1:11">
      <c r="A95" s="11" t="s">
        <v>215</v>
      </c>
      <c r="B95" s="17">
        <f>'Multi'!$B$124/'Input'!$C173*B54*'LAFs'!B$244/(24*'Input'!$F$58)*1000</f>
        <v>0</v>
      </c>
      <c r="C95" s="17">
        <f>'Multi'!$B$124/'Input'!$C173*C54*'LAFs'!C$244/(24*'Input'!$F$58)*1000</f>
        <v>0</v>
      </c>
      <c r="D95" s="17">
        <f>'Multi'!$B$124/'Input'!$C173*D54*'LAFs'!D$244/(24*'Input'!$F$58)*1000</f>
        <v>0</v>
      </c>
      <c r="E95" s="17">
        <f>'Multi'!$B$124/'Input'!$C173*E54*'LAFs'!E$244/(24*'Input'!$F$58)*1000</f>
        <v>0</v>
      </c>
      <c r="F95" s="17">
        <f>'Multi'!$B$124/'Input'!$C173*F54*'LAFs'!F$244/(24*'Input'!$F$58)*1000</f>
        <v>0</v>
      </c>
      <c r="G95" s="17">
        <f>'Multi'!$B$124/'Input'!$C173*G54*'LAFs'!G$244/(24*'Input'!$F$58)*1000</f>
        <v>0</v>
      </c>
      <c r="H95" s="17">
        <f>'Multi'!$B$124/'Input'!$C173*H54*'LAFs'!H$244/(24*'Input'!$F$58)*1000</f>
        <v>0</v>
      </c>
      <c r="I95" s="17">
        <f>'Multi'!$B$124/'Input'!$C173*I54*'LAFs'!I$244/(24*'Input'!$F$58)*1000</f>
        <v>0</v>
      </c>
      <c r="J95" s="17">
        <f>'Multi'!$B$124/'Input'!$C173*J54*'LAFs'!J$244/(24*'Input'!$F$58)*1000</f>
        <v>0</v>
      </c>
      <c r="K95" s="10"/>
    </row>
    <row r="96" spans="1:11">
      <c r="A96" s="11" t="s">
        <v>216</v>
      </c>
      <c r="B96" s="17">
        <f>'Multi'!$B$125/'Input'!$C174*B55*'LAFs'!B$245/(24*'Input'!$F$58)*1000</f>
        <v>0</v>
      </c>
      <c r="C96" s="17">
        <f>'Multi'!$B$125/'Input'!$C174*C55*'LAFs'!C$245/(24*'Input'!$F$58)*1000</f>
        <v>0</v>
      </c>
      <c r="D96" s="17">
        <f>'Multi'!$B$125/'Input'!$C174*D55*'LAFs'!D$245/(24*'Input'!$F$58)*1000</f>
        <v>0</v>
      </c>
      <c r="E96" s="17">
        <f>'Multi'!$B$125/'Input'!$C174*E55*'LAFs'!E$245/(24*'Input'!$F$58)*1000</f>
        <v>0</v>
      </c>
      <c r="F96" s="17">
        <f>'Multi'!$B$125/'Input'!$C174*F55*'LAFs'!F$245/(24*'Input'!$F$58)*1000</f>
        <v>0</v>
      </c>
      <c r="G96" s="17">
        <f>'Multi'!$B$125/'Input'!$C174*G55*'LAFs'!G$245/(24*'Input'!$F$58)*1000</f>
        <v>0</v>
      </c>
      <c r="H96" s="17">
        <f>'Multi'!$B$125/'Input'!$C174*H55*'LAFs'!H$245/(24*'Input'!$F$58)*1000</f>
        <v>0</v>
      </c>
      <c r="I96" s="17">
        <f>'Multi'!$B$125/'Input'!$C174*I55*'LAFs'!I$245/(24*'Input'!$F$58)*1000</f>
        <v>0</v>
      </c>
      <c r="J96" s="17">
        <f>'Multi'!$B$125/'Input'!$C174*J55*'LAFs'!J$245/(24*'Input'!$F$58)*1000</f>
        <v>0</v>
      </c>
      <c r="K96" s="10"/>
    </row>
    <row r="98" spans="1:11">
      <c r="A98" s="1" t="s">
        <v>775</v>
      </c>
    </row>
    <row r="99" spans="1:11">
      <c r="A99" s="2" t="s">
        <v>349</v>
      </c>
    </row>
    <row r="100" spans="1:11">
      <c r="A100" s="12" t="s">
        <v>776</v>
      </c>
    </row>
    <row r="101" spans="1:11">
      <c r="A101" s="12" t="s">
        <v>777</v>
      </c>
    </row>
    <row r="102" spans="1:11">
      <c r="A102" s="2" t="s">
        <v>367</v>
      </c>
    </row>
    <row r="104" spans="1:11">
      <c r="B104" s="3" t="s">
        <v>140</v>
      </c>
      <c r="C104" s="3" t="s">
        <v>141</v>
      </c>
      <c r="D104" s="3" t="s">
        <v>142</v>
      </c>
      <c r="E104" s="3" t="s">
        <v>143</v>
      </c>
      <c r="F104" s="3" t="s">
        <v>144</v>
      </c>
      <c r="G104" s="3" t="s">
        <v>149</v>
      </c>
      <c r="H104" s="3" t="s">
        <v>145</v>
      </c>
      <c r="I104" s="3" t="s">
        <v>146</v>
      </c>
      <c r="J104" s="3" t="s">
        <v>147</v>
      </c>
    </row>
    <row r="105" spans="1:11">
      <c r="A105" s="11" t="s">
        <v>172</v>
      </c>
      <c r="B105" s="33">
        <f>B$80</f>
        <v>0</v>
      </c>
      <c r="C105" s="33">
        <f>C$80</f>
        <v>0</v>
      </c>
      <c r="D105" s="33">
        <f>D$80</f>
        <v>0</v>
      </c>
      <c r="E105" s="33">
        <f>E$80</f>
        <v>0</v>
      </c>
      <c r="F105" s="33">
        <f>F$80</f>
        <v>0</v>
      </c>
      <c r="G105" s="33">
        <f>G$80</f>
        <v>0</v>
      </c>
      <c r="H105" s="33">
        <f>H$80</f>
        <v>0</v>
      </c>
      <c r="I105" s="33">
        <f>I$80</f>
        <v>0</v>
      </c>
      <c r="J105" s="33">
        <f>J$80</f>
        <v>0</v>
      </c>
      <c r="K105" s="10"/>
    </row>
    <row r="106" spans="1:11">
      <c r="A106" s="11" t="s">
        <v>173</v>
      </c>
      <c r="B106" s="33">
        <f>B$81</f>
        <v>0</v>
      </c>
      <c r="C106" s="33">
        <f>C$81</f>
        <v>0</v>
      </c>
      <c r="D106" s="33">
        <f>D$81</f>
        <v>0</v>
      </c>
      <c r="E106" s="33">
        <f>E$81</f>
        <v>0</v>
      </c>
      <c r="F106" s="33">
        <f>F$81</f>
        <v>0</v>
      </c>
      <c r="G106" s="33">
        <f>G$81</f>
        <v>0</v>
      </c>
      <c r="H106" s="33">
        <f>H$81</f>
        <v>0</v>
      </c>
      <c r="I106" s="33">
        <f>I$81</f>
        <v>0</v>
      </c>
      <c r="J106" s="33">
        <f>J$81</f>
        <v>0</v>
      </c>
      <c r="K106" s="10"/>
    </row>
    <row r="107" spans="1:11">
      <c r="A107" s="11" t="s">
        <v>174</v>
      </c>
      <c r="B107" s="33">
        <f>B$83</f>
        <v>0</v>
      </c>
      <c r="C107" s="33">
        <f>C$83</f>
        <v>0</v>
      </c>
      <c r="D107" s="33">
        <f>D$83</f>
        <v>0</v>
      </c>
      <c r="E107" s="33">
        <f>E$83</f>
        <v>0</v>
      </c>
      <c r="F107" s="33">
        <f>F$83</f>
        <v>0</v>
      </c>
      <c r="G107" s="33">
        <f>G$83</f>
        <v>0</v>
      </c>
      <c r="H107" s="33">
        <f>H$83</f>
        <v>0</v>
      </c>
      <c r="I107" s="33">
        <f>I$83</f>
        <v>0</v>
      </c>
      <c r="J107" s="33">
        <f>J$83</f>
        <v>0</v>
      </c>
      <c r="K107" s="10"/>
    </row>
    <row r="108" spans="1:11">
      <c r="A108" s="11" t="s">
        <v>175</v>
      </c>
      <c r="B108" s="33">
        <f>B$84</f>
        <v>0</v>
      </c>
      <c r="C108" s="33">
        <f>C$84</f>
        <v>0</v>
      </c>
      <c r="D108" s="33">
        <f>D$84</f>
        <v>0</v>
      </c>
      <c r="E108" s="33">
        <f>E$84</f>
        <v>0</v>
      </c>
      <c r="F108" s="33">
        <f>F$84</f>
        <v>0</v>
      </c>
      <c r="G108" s="33">
        <f>G$84</f>
        <v>0</v>
      </c>
      <c r="H108" s="33">
        <f>H$84</f>
        <v>0</v>
      </c>
      <c r="I108" s="33">
        <f>I$84</f>
        <v>0</v>
      </c>
      <c r="J108" s="33">
        <f>J$84</f>
        <v>0</v>
      </c>
      <c r="K108" s="10"/>
    </row>
    <row r="109" spans="1:11">
      <c r="A109" s="11" t="s">
        <v>176</v>
      </c>
      <c r="B109" s="33">
        <f>B$86</f>
        <v>0</v>
      </c>
      <c r="C109" s="33">
        <f>C$86</f>
        <v>0</v>
      </c>
      <c r="D109" s="33">
        <f>D$86</f>
        <v>0</v>
      </c>
      <c r="E109" s="33">
        <f>E$86</f>
        <v>0</v>
      </c>
      <c r="F109" s="33">
        <f>F$86</f>
        <v>0</v>
      </c>
      <c r="G109" s="33">
        <f>G$86</f>
        <v>0</v>
      </c>
      <c r="H109" s="33">
        <f>H$86</f>
        <v>0</v>
      </c>
      <c r="I109" s="33">
        <f>I$86</f>
        <v>0</v>
      </c>
      <c r="J109" s="33">
        <f>J$86</f>
        <v>0</v>
      </c>
      <c r="K109" s="10"/>
    </row>
    <row r="110" spans="1:11">
      <c r="A110" s="11" t="s">
        <v>177</v>
      </c>
      <c r="B110" s="33">
        <f>B$87</f>
        <v>0</v>
      </c>
      <c r="C110" s="33">
        <f>C$87</f>
        <v>0</v>
      </c>
      <c r="D110" s="33">
        <f>D$87</f>
        <v>0</v>
      </c>
      <c r="E110" s="33">
        <f>E$87</f>
        <v>0</v>
      </c>
      <c r="F110" s="33">
        <f>F$87</f>
        <v>0</v>
      </c>
      <c r="G110" s="33">
        <f>G$87</f>
        <v>0</v>
      </c>
      <c r="H110" s="33">
        <f>H$87</f>
        <v>0</v>
      </c>
      <c r="I110" s="33">
        <f>I$87</f>
        <v>0</v>
      </c>
      <c r="J110" s="33">
        <f>J$87</f>
        <v>0</v>
      </c>
      <c r="K110" s="10"/>
    </row>
    <row r="111" spans="1:11">
      <c r="A111" s="11" t="s">
        <v>191</v>
      </c>
      <c r="B111" s="33">
        <f>B$88</f>
        <v>0</v>
      </c>
      <c r="C111" s="33">
        <f>C$88</f>
        <v>0</v>
      </c>
      <c r="D111" s="33">
        <f>D$88</f>
        <v>0</v>
      </c>
      <c r="E111" s="33">
        <f>E$88</f>
        <v>0</v>
      </c>
      <c r="F111" s="33">
        <f>F$88</f>
        <v>0</v>
      </c>
      <c r="G111" s="33">
        <f>G$88</f>
        <v>0</v>
      </c>
      <c r="H111" s="33">
        <f>H$88</f>
        <v>0</v>
      </c>
      <c r="I111" s="33">
        <f>I$88</f>
        <v>0</v>
      </c>
      <c r="J111" s="33">
        <f>J$88</f>
        <v>0</v>
      </c>
      <c r="K111" s="10"/>
    </row>
    <row r="112" spans="1:11">
      <c r="A112" s="11" t="s">
        <v>178</v>
      </c>
      <c r="B112" s="33">
        <f>B$66</f>
        <v>0</v>
      </c>
      <c r="C112" s="33">
        <f>C$66</f>
        <v>0</v>
      </c>
      <c r="D112" s="33">
        <f>D$66</f>
        <v>0</v>
      </c>
      <c r="E112" s="33">
        <f>E$66</f>
        <v>0</v>
      </c>
      <c r="F112" s="33">
        <f>F$66</f>
        <v>0</v>
      </c>
      <c r="G112" s="33">
        <f>G$66</f>
        <v>0</v>
      </c>
      <c r="H112" s="33">
        <f>H$66</f>
        <v>0</v>
      </c>
      <c r="I112" s="33">
        <f>I$66</f>
        <v>0</v>
      </c>
      <c r="J112" s="33">
        <f>J$66</f>
        <v>0</v>
      </c>
      <c r="K112" s="10"/>
    </row>
    <row r="113" spans="1:11">
      <c r="A113" s="11" t="s">
        <v>179</v>
      </c>
      <c r="B113" s="33">
        <f>B$67</f>
        <v>0</v>
      </c>
      <c r="C113" s="33">
        <f>C$67</f>
        <v>0</v>
      </c>
      <c r="D113" s="33">
        <f>D$67</f>
        <v>0</v>
      </c>
      <c r="E113" s="33">
        <f>E$67</f>
        <v>0</v>
      </c>
      <c r="F113" s="33">
        <f>F$67</f>
        <v>0</v>
      </c>
      <c r="G113" s="33">
        <f>G$67</f>
        <v>0</v>
      </c>
      <c r="H113" s="33">
        <f>H$67</f>
        <v>0</v>
      </c>
      <c r="I113" s="33">
        <f>I$67</f>
        <v>0</v>
      </c>
      <c r="J113" s="33">
        <f>J$67</f>
        <v>0</v>
      </c>
      <c r="K113" s="10"/>
    </row>
    <row r="114" spans="1:11">
      <c r="A114" s="11" t="s">
        <v>192</v>
      </c>
      <c r="B114" s="33">
        <f>B$68</f>
        <v>0</v>
      </c>
      <c r="C114" s="33">
        <f>C$68</f>
        <v>0</v>
      </c>
      <c r="D114" s="33">
        <f>D$68</f>
        <v>0</v>
      </c>
      <c r="E114" s="33">
        <f>E$68</f>
        <v>0</v>
      </c>
      <c r="F114" s="33">
        <f>F$68</f>
        <v>0</v>
      </c>
      <c r="G114" s="33">
        <f>G$68</f>
        <v>0</v>
      </c>
      <c r="H114" s="33">
        <f>H$68</f>
        <v>0</v>
      </c>
      <c r="I114" s="33">
        <f>I$68</f>
        <v>0</v>
      </c>
      <c r="J114" s="33">
        <f>J$68</f>
        <v>0</v>
      </c>
      <c r="K114" s="10"/>
    </row>
    <row r="115" spans="1:11">
      <c r="A115" s="11" t="s">
        <v>212</v>
      </c>
      <c r="B115" s="33">
        <f>B$92</f>
        <v>0</v>
      </c>
      <c r="C115" s="33">
        <f>C$92</f>
        <v>0</v>
      </c>
      <c r="D115" s="33">
        <f>D$92</f>
        <v>0</v>
      </c>
      <c r="E115" s="33">
        <f>E$92</f>
        <v>0</v>
      </c>
      <c r="F115" s="33">
        <f>F$92</f>
        <v>0</v>
      </c>
      <c r="G115" s="33">
        <f>G$92</f>
        <v>0</v>
      </c>
      <c r="H115" s="33">
        <f>H$92</f>
        <v>0</v>
      </c>
      <c r="I115" s="33">
        <f>I$92</f>
        <v>0</v>
      </c>
      <c r="J115" s="33">
        <f>J$92</f>
        <v>0</v>
      </c>
      <c r="K115" s="10"/>
    </row>
    <row r="116" spans="1:11">
      <c r="A116" s="11" t="s">
        <v>213</v>
      </c>
      <c r="B116" s="33">
        <f>B$93</f>
        <v>0</v>
      </c>
      <c r="C116" s="33">
        <f>C$93</f>
        <v>0</v>
      </c>
      <c r="D116" s="33">
        <f>D$93</f>
        <v>0</v>
      </c>
      <c r="E116" s="33">
        <f>E$93</f>
        <v>0</v>
      </c>
      <c r="F116" s="33">
        <f>F$93</f>
        <v>0</v>
      </c>
      <c r="G116" s="33">
        <f>G$93</f>
        <v>0</v>
      </c>
      <c r="H116" s="33">
        <f>H$93</f>
        <v>0</v>
      </c>
      <c r="I116" s="33">
        <f>I$93</f>
        <v>0</v>
      </c>
      <c r="J116" s="33">
        <f>J$93</f>
        <v>0</v>
      </c>
      <c r="K116" s="10"/>
    </row>
    <row r="117" spans="1:11">
      <c r="A117" s="11" t="s">
        <v>214</v>
      </c>
      <c r="B117" s="33">
        <f>B$94</f>
        <v>0</v>
      </c>
      <c r="C117" s="33">
        <f>C$94</f>
        <v>0</v>
      </c>
      <c r="D117" s="33">
        <f>D$94</f>
        <v>0</v>
      </c>
      <c r="E117" s="33">
        <f>E$94</f>
        <v>0</v>
      </c>
      <c r="F117" s="33">
        <f>F$94</f>
        <v>0</v>
      </c>
      <c r="G117" s="33">
        <f>G$94</f>
        <v>0</v>
      </c>
      <c r="H117" s="33">
        <f>H$94</f>
        <v>0</v>
      </c>
      <c r="I117" s="33">
        <f>I$94</f>
        <v>0</v>
      </c>
      <c r="J117" s="33">
        <f>J$94</f>
        <v>0</v>
      </c>
      <c r="K117" s="10"/>
    </row>
    <row r="118" spans="1:11">
      <c r="A118" s="11" t="s">
        <v>215</v>
      </c>
      <c r="B118" s="33">
        <f>B$95</f>
        <v>0</v>
      </c>
      <c r="C118" s="33">
        <f>C$95</f>
        <v>0</v>
      </c>
      <c r="D118" s="33">
        <f>D$95</f>
        <v>0</v>
      </c>
      <c r="E118" s="33">
        <f>E$95</f>
        <v>0</v>
      </c>
      <c r="F118" s="33">
        <f>F$95</f>
        <v>0</v>
      </c>
      <c r="G118" s="33">
        <f>G$95</f>
        <v>0</v>
      </c>
      <c r="H118" s="33">
        <f>H$95</f>
        <v>0</v>
      </c>
      <c r="I118" s="33">
        <f>I$95</f>
        <v>0</v>
      </c>
      <c r="J118" s="33">
        <f>J$95</f>
        <v>0</v>
      </c>
      <c r="K118" s="10"/>
    </row>
    <row r="119" spans="1:11">
      <c r="A119" s="11" t="s">
        <v>216</v>
      </c>
      <c r="B119" s="33">
        <f>B$96</f>
        <v>0</v>
      </c>
      <c r="C119" s="33">
        <f>C$96</f>
        <v>0</v>
      </c>
      <c r="D119" s="33">
        <f>D$96</f>
        <v>0</v>
      </c>
      <c r="E119" s="33">
        <f>E$96</f>
        <v>0</v>
      </c>
      <c r="F119" s="33">
        <f>F$96</f>
        <v>0</v>
      </c>
      <c r="G119" s="33">
        <f>G$96</f>
        <v>0</v>
      </c>
      <c r="H119" s="33">
        <f>H$96</f>
        <v>0</v>
      </c>
      <c r="I119" s="33">
        <f>I$96</f>
        <v>0</v>
      </c>
      <c r="J119" s="33">
        <f>J$96</f>
        <v>0</v>
      </c>
      <c r="K119" s="10"/>
    </row>
    <row r="121" spans="1:11">
      <c r="A121" s="1" t="s">
        <v>778</v>
      </c>
    </row>
    <row r="122" spans="1:11">
      <c r="A122" s="2" t="s">
        <v>349</v>
      </c>
    </row>
    <row r="123" spans="1:11">
      <c r="A123" s="12" t="s">
        <v>779</v>
      </c>
    </row>
    <row r="124" spans="1:11">
      <c r="A124" s="2" t="s">
        <v>753</v>
      </c>
    </row>
    <row r="126" spans="1:11">
      <c r="B126" s="3" t="s">
        <v>140</v>
      </c>
      <c r="C126" s="3" t="s">
        <v>141</v>
      </c>
      <c r="D126" s="3" t="s">
        <v>142</v>
      </c>
      <c r="E126" s="3" t="s">
        <v>143</v>
      </c>
      <c r="F126" s="3" t="s">
        <v>144</v>
      </c>
      <c r="G126" s="3" t="s">
        <v>149</v>
      </c>
      <c r="H126" s="3" t="s">
        <v>145</v>
      </c>
      <c r="I126" s="3" t="s">
        <v>146</v>
      </c>
      <c r="J126" s="3" t="s">
        <v>147</v>
      </c>
    </row>
    <row r="127" spans="1:11">
      <c r="A127" s="11" t="s">
        <v>780</v>
      </c>
      <c r="B127" s="17">
        <f>SUM(B$105:B$119)</f>
        <v>0</v>
      </c>
      <c r="C127" s="17">
        <f>SUM(C$105:C$119)</f>
        <v>0</v>
      </c>
      <c r="D127" s="17">
        <f>SUM(D$105:D$119)</f>
        <v>0</v>
      </c>
      <c r="E127" s="17">
        <f>SUM(E$105:E$119)</f>
        <v>0</v>
      </c>
      <c r="F127" s="17">
        <f>SUM(F$105:F$119)</f>
        <v>0</v>
      </c>
      <c r="G127" s="17">
        <f>SUM(G$105:G$119)</f>
        <v>0</v>
      </c>
      <c r="H127" s="17">
        <f>SUM(H$105:H$119)</f>
        <v>0</v>
      </c>
      <c r="I127" s="17">
        <f>SUM(I$105:I$119)</f>
        <v>0</v>
      </c>
      <c r="J127" s="17">
        <f>SUM(J$105:J$119)</f>
        <v>0</v>
      </c>
      <c r="K127" s="10"/>
    </row>
    <row r="129" spans="1:11">
      <c r="A129" s="1" t="s">
        <v>781</v>
      </c>
    </row>
    <row r="130" spans="1:11">
      <c r="A130" s="2" t="s">
        <v>349</v>
      </c>
    </row>
    <row r="131" spans="1:11">
      <c r="A131" s="12" t="s">
        <v>752</v>
      </c>
    </row>
    <row r="132" spans="1:11">
      <c r="A132" s="12" t="s">
        <v>782</v>
      </c>
    </row>
    <row r="133" spans="1:11">
      <c r="A133" s="2" t="s">
        <v>783</v>
      </c>
    </row>
    <row r="135" spans="1:11">
      <c r="B135" s="3" t="s">
        <v>140</v>
      </c>
      <c r="C135" s="3" t="s">
        <v>141</v>
      </c>
      <c r="D135" s="3" t="s">
        <v>142</v>
      </c>
      <c r="E135" s="3" t="s">
        <v>143</v>
      </c>
      <c r="F135" s="3" t="s">
        <v>144</v>
      </c>
      <c r="G135" s="3" t="s">
        <v>149</v>
      </c>
      <c r="H135" s="3" t="s">
        <v>145</v>
      </c>
      <c r="I135" s="3" t="s">
        <v>146</v>
      </c>
      <c r="J135" s="3" t="s">
        <v>147</v>
      </c>
    </row>
    <row r="136" spans="1:11">
      <c r="A136" s="11" t="s">
        <v>172</v>
      </c>
      <c r="B136" s="6">
        <f>'SMD'!B$101*B39</f>
        <v>0</v>
      </c>
      <c r="C136" s="6">
        <f>'SMD'!C$101*C39</f>
        <v>0</v>
      </c>
      <c r="D136" s="6">
        <f>'SMD'!D$101*D39</f>
        <v>0</v>
      </c>
      <c r="E136" s="6">
        <f>'SMD'!E$101*E39</f>
        <v>0</v>
      </c>
      <c r="F136" s="6">
        <f>'SMD'!F$101*F39</f>
        <v>0</v>
      </c>
      <c r="G136" s="6">
        <f>'SMD'!G$101*G39</f>
        <v>0</v>
      </c>
      <c r="H136" s="6">
        <f>'SMD'!H$101*H39</f>
        <v>0</v>
      </c>
      <c r="I136" s="6">
        <f>'SMD'!I$101*I39</f>
        <v>0</v>
      </c>
      <c r="J136" s="6">
        <f>'SMD'!J$101*J39</f>
        <v>0</v>
      </c>
      <c r="K136" s="10"/>
    </row>
    <row r="137" spans="1:11">
      <c r="A137" s="11" t="s">
        <v>173</v>
      </c>
      <c r="B137" s="6">
        <f>'SMD'!B$102*B40</f>
        <v>0</v>
      </c>
      <c r="C137" s="6">
        <f>'SMD'!C$102*C40</f>
        <v>0</v>
      </c>
      <c r="D137" s="6">
        <f>'SMD'!D$102*D40</f>
        <v>0</v>
      </c>
      <c r="E137" s="6">
        <f>'SMD'!E$102*E40</f>
        <v>0</v>
      </c>
      <c r="F137" s="6">
        <f>'SMD'!F$102*F40</f>
        <v>0</v>
      </c>
      <c r="G137" s="6">
        <f>'SMD'!G$102*G40</f>
        <v>0</v>
      </c>
      <c r="H137" s="6">
        <f>'SMD'!H$102*H40</f>
        <v>0</v>
      </c>
      <c r="I137" s="6">
        <f>'SMD'!I$102*I40</f>
        <v>0</v>
      </c>
      <c r="J137" s="6">
        <f>'SMD'!J$102*J40</f>
        <v>0</v>
      </c>
      <c r="K137" s="10"/>
    </row>
    <row r="138" spans="1:11">
      <c r="A138" s="11" t="s">
        <v>210</v>
      </c>
      <c r="B138" s="6">
        <f>'SMD'!B$103*B41</f>
        <v>0</v>
      </c>
      <c r="C138" s="6">
        <f>'SMD'!C$103*C41</f>
        <v>0</v>
      </c>
      <c r="D138" s="6">
        <f>'SMD'!D$103*D41</f>
        <v>0</v>
      </c>
      <c r="E138" s="6">
        <f>'SMD'!E$103*E41</f>
        <v>0</v>
      </c>
      <c r="F138" s="6">
        <f>'SMD'!F$103*F41</f>
        <v>0</v>
      </c>
      <c r="G138" s="6">
        <f>'SMD'!G$103*G41</f>
        <v>0</v>
      </c>
      <c r="H138" s="6">
        <f>'SMD'!H$103*H41</f>
        <v>0</v>
      </c>
      <c r="I138" s="6">
        <f>'SMD'!I$103*I41</f>
        <v>0</v>
      </c>
      <c r="J138" s="6">
        <f>'SMD'!J$103*J41</f>
        <v>0</v>
      </c>
      <c r="K138" s="10"/>
    </row>
    <row r="139" spans="1:11">
      <c r="A139" s="11" t="s">
        <v>174</v>
      </c>
      <c r="B139" s="6">
        <f>'SMD'!B$104*B42</f>
        <v>0</v>
      </c>
      <c r="C139" s="6">
        <f>'SMD'!C$104*C42</f>
        <v>0</v>
      </c>
      <c r="D139" s="6">
        <f>'SMD'!D$104*D42</f>
        <v>0</v>
      </c>
      <c r="E139" s="6">
        <f>'SMD'!E$104*E42</f>
        <v>0</v>
      </c>
      <c r="F139" s="6">
        <f>'SMD'!F$104*F42</f>
        <v>0</v>
      </c>
      <c r="G139" s="6">
        <f>'SMD'!G$104*G42</f>
        <v>0</v>
      </c>
      <c r="H139" s="6">
        <f>'SMD'!H$104*H42</f>
        <v>0</v>
      </c>
      <c r="I139" s="6">
        <f>'SMD'!I$104*I42</f>
        <v>0</v>
      </c>
      <c r="J139" s="6">
        <f>'SMD'!J$104*J42</f>
        <v>0</v>
      </c>
      <c r="K139" s="10"/>
    </row>
    <row r="140" spans="1:11">
      <c r="A140" s="11" t="s">
        <v>175</v>
      </c>
      <c r="B140" s="6">
        <f>'SMD'!B$105*B43</f>
        <v>0</v>
      </c>
      <c r="C140" s="6">
        <f>'SMD'!C$105*C43</f>
        <v>0</v>
      </c>
      <c r="D140" s="6">
        <f>'SMD'!D$105*D43</f>
        <v>0</v>
      </c>
      <c r="E140" s="6">
        <f>'SMD'!E$105*E43</f>
        <v>0</v>
      </c>
      <c r="F140" s="6">
        <f>'SMD'!F$105*F43</f>
        <v>0</v>
      </c>
      <c r="G140" s="6">
        <f>'SMD'!G$105*G43</f>
        <v>0</v>
      </c>
      <c r="H140" s="6">
        <f>'SMD'!H$105*H43</f>
        <v>0</v>
      </c>
      <c r="I140" s="6">
        <f>'SMD'!I$105*I43</f>
        <v>0</v>
      </c>
      <c r="J140" s="6">
        <f>'SMD'!J$105*J43</f>
        <v>0</v>
      </c>
      <c r="K140" s="10"/>
    </row>
    <row r="141" spans="1:11">
      <c r="A141" s="11" t="s">
        <v>211</v>
      </c>
      <c r="B141" s="6">
        <f>'SMD'!B$106*B44</f>
        <v>0</v>
      </c>
      <c r="C141" s="6">
        <f>'SMD'!C$106*C44</f>
        <v>0</v>
      </c>
      <c r="D141" s="6">
        <f>'SMD'!D$106*D44</f>
        <v>0</v>
      </c>
      <c r="E141" s="6">
        <f>'SMD'!E$106*E44</f>
        <v>0</v>
      </c>
      <c r="F141" s="6">
        <f>'SMD'!F$106*F44</f>
        <v>0</v>
      </c>
      <c r="G141" s="6">
        <f>'SMD'!G$106*G44</f>
        <v>0</v>
      </c>
      <c r="H141" s="6">
        <f>'SMD'!H$106*H44</f>
        <v>0</v>
      </c>
      <c r="I141" s="6">
        <f>'SMD'!I$106*I44</f>
        <v>0</v>
      </c>
      <c r="J141" s="6">
        <f>'SMD'!J$106*J44</f>
        <v>0</v>
      </c>
      <c r="K141" s="10"/>
    </row>
    <row r="142" spans="1:11">
      <c r="A142" s="11" t="s">
        <v>176</v>
      </c>
      <c r="B142" s="6">
        <f>'SMD'!B$107*B45</f>
        <v>0</v>
      </c>
      <c r="C142" s="6">
        <f>'SMD'!C$107*C45</f>
        <v>0</v>
      </c>
      <c r="D142" s="6">
        <f>'SMD'!D$107*D45</f>
        <v>0</v>
      </c>
      <c r="E142" s="6">
        <f>'SMD'!E$107*E45</f>
        <v>0</v>
      </c>
      <c r="F142" s="6">
        <f>'SMD'!F$107*F45</f>
        <v>0</v>
      </c>
      <c r="G142" s="6">
        <f>'SMD'!G$107*G45</f>
        <v>0</v>
      </c>
      <c r="H142" s="6">
        <f>'SMD'!H$107*H45</f>
        <v>0</v>
      </c>
      <c r="I142" s="6">
        <f>'SMD'!I$107*I45</f>
        <v>0</v>
      </c>
      <c r="J142" s="6">
        <f>'SMD'!J$107*J45</f>
        <v>0</v>
      </c>
      <c r="K142" s="10"/>
    </row>
    <row r="143" spans="1:11">
      <c r="A143" s="11" t="s">
        <v>177</v>
      </c>
      <c r="B143" s="6">
        <f>'SMD'!B$108*B46</f>
        <v>0</v>
      </c>
      <c r="C143" s="6">
        <f>'SMD'!C$108*C46</f>
        <v>0</v>
      </c>
      <c r="D143" s="6">
        <f>'SMD'!D$108*D46</f>
        <v>0</v>
      </c>
      <c r="E143" s="6">
        <f>'SMD'!E$108*E46</f>
        <v>0</v>
      </c>
      <c r="F143" s="6">
        <f>'SMD'!F$108*F46</f>
        <v>0</v>
      </c>
      <c r="G143" s="6">
        <f>'SMD'!G$108*G46</f>
        <v>0</v>
      </c>
      <c r="H143" s="6">
        <f>'SMD'!H$108*H46</f>
        <v>0</v>
      </c>
      <c r="I143" s="6">
        <f>'SMD'!I$108*I46</f>
        <v>0</v>
      </c>
      <c r="J143" s="6">
        <f>'SMD'!J$108*J46</f>
        <v>0</v>
      </c>
      <c r="K143" s="10"/>
    </row>
    <row r="144" spans="1:11">
      <c r="A144" s="11" t="s">
        <v>191</v>
      </c>
      <c r="B144" s="6">
        <f>'SMD'!B$109*B47</f>
        <v>0</v>
      </c>
      <c r="C144" s="6">
        <f>'SMD'!C$109*C47</f>
        <v>0</v>
      </c>
      <c r="D144" s="6">
        <f>'SMD'!D$109*D47</f>
        <v>0</v>
      </c>
      <c r="E144" s="6">
        <f>'SMD'!E$109*E47</f>
        <v>0</v>
      </c>
      <c r="F144" s="6">
        <f>'SMD'!F$109*F47</f>
        <v>0</v>
      </c>
      <c r="G144" s="6">
        <f>'SMD'!G$109*G47</f>
        <v>0</v>
      </c>
      <c r="H144" s="6">
        <f>'SMD'!H$109*H47</f>
        <v>0</v>
      </c>
      <c r="I144" s="6">
        <f>'SMD'!I$109*I47</f>
        <v>0</v>
      </c>
      <c r="J144" s="6">
        <f>'SMD'!J$109*J47</f>
        <v>0</v>
      </c>
      <c r="K144" s="10"/>
    </row>
    <row r="145" spans="1:11">
      <c r="A145" s="11" t="s">
        <v>178</v>
      </c>
      <c r="B145" s="6">
        <f>'SMD'!B$110*B48</f>
        <v>0</v>
      </c>
      <c r="C145" s="6">
        <f>'SMD'!C$110*C48</f>
        <v>0</v>
      </c>
      <c r="D145" s="6">
        <f>'SMD'!D$110*D48</f>
        <v>0</v>
      </c>
      <c r="E145" s="6">
        <f>'SMD'!E$110*E48</f>
        <v>0</v>
      </c>
      <c r="F145" s="6">
        <f>'SMD'!F$110*F48</f>
        <v>0</v>
      </c>
      <c r="G145" s="6">
        <f>'SMD'!G$110*G48</f>
        <v>0</v>
      </c>
      <c r="H145" s="6">
        <f>'SMD'!H$110*H48</f>
        <v>0</v>
      </c>
      <c r="I145" s="6">
        <f>'SMD'!I$110*I48</f>
        <v>0</v>
      </c>
      <c r="J145" s="6">
        <f>'SMD'!J$110*J48</f>
        <v>0</v>
      </c>
      <c r="K145" s="10"/>
    </row>
    <row r="146" spans="1:11">
      <c r="A146" s="11" t="s">
        <v>179</v>
      </c>
      <c r="B146" s="6">
        <f>'SMD'!B$111*B49</f>
        <v>0</v>
      </c>
      <c r="C146" s="6">
        <f>'SMD'!C$111*C49</f>
        <v>0</v>
      </c>
      <c r="D146" s="6">
        <f>'SMD'!D$111*D49</f>
        <v>0</v>
      </c>
      <c r="E146" s="6">
        <f>'SMD'!E$111*E49</f>
        <v>0</v>
      </c>
      <c r="F146" s="6">
        <f>'SMD'!F$111*F49</f>
        <v>0</v>
      </c>
      <c r="G146" s="6">
        <f>'SMD'!G$111*G49</f>
        <v>0</v>
      </c>
      <c r="H146" s="6">
        <f>'SMD'!H$111*H49</f>
        <v>0</v>
      </c>
      <c r="I146" s="6">
        <f>'SMD'!I$111*I49</f>
        <v>0</v>
      </c>
      <c r="J146" s="6">
        <f>'SMD'!J$111*J49</f>
        <v>0</v>
      </c>
      <c r="K146" s="10"/>
    </row>
    <row r="147" spans="1:11">
      <c r="A147" s="11" t="s">
        <v>192</v>
      </c>
      <c r="B147" s="6">
        <f>'SMD'!B$112*B50</f>
        <v>0</v>
      </c>
      <c r="C147" s="6">
        <f>'SMD'!C$112*C50</f>
        <v>0</v>
      </c>
      <c r="D147" s="6">
        <f>'SMD'!D$112*D50</f>
        <v>0</v>
      </c>
      <c r="E147" s="6">
        <f>'SMD'!E$112*E50</f>
        <v>0</v>
      </c>
      <c r="F147" s="6">
        <f>'SMD'!F$112*F50</f>
        <v>0</v>
      </c>
      <c r="G147" s="6">
        <f>'SMD'!G$112*G50</f>
        <v>0</v>
      </c>
      <c r="H147" s="6">
        <f>'SMD'!H$112*H50</f>
        <v>0</v>
      </c>
      <c r="I147" s="6">
        <f>'SMD'!I$112*I50</f>
        <v>0</v>
      </c>
      <c r="J147" s="6">
        <f>'SMD'!J$112*J50</f>
        <v>0</v>
      </c>
      <c r="K147" s="10"/>
    </row>
    <row r="148" spans="1:11">
      <c r="A148" s="11" t="s">
        <v>212</v>
      </c>
      <c r="B148" s="6">
        <f>'SMD'!B$113*B51</f>
        <v>0</v>
      </c>
      <c r="C148" s="6">
        <f>'SMD'!C$113*C51</f>
        <v>0</v>
      </c>
      <c r="D148" s="6">
        <f>'SMD'!D$113*D51</f>
        <v>0</v>
      </c>
      <c r="E148" s="6">
        <f>'SMD'!E$113*E51</f>
        <v>0</v>
      </c>
      <c r="F148" s="6">
        <f>'SMD'!F$113*F51</f>
        <v>0</v>
      </c>
      <c r="G148" s="6">
        <f>'SMD'!G$113*G51</f>
        <v>0</v>
      </c>
      <c r="H148" s="6">
        <f>'SMD'!H$113*H51</f>
        <v>0</v>
      </c>
      <c r="I148" s="6">
        <f>'SMD'!I$113*I51</f>
        <v>0</v>
      </c>
      <c r="J148" s="6">
        <f>'SMD'!J$113*J51</f>
        <v>0</v>
      </c>
      <c r="K148" s="10"/>
    </row>
    <row r="149" spans="1:11">
      <c r="A149" s="11" t="s">
        <v>213</v>
      </c>
      <c r="B149" s="6">
        <f>'SMD'!B$114*B52</f>
        <v>0</v>
      </c>
      <c r="C149" s="6">
        <f>'SMD'!C$114*C52</f>
        <v>0</v>
      </c>
      <c r="D149" s="6">
        <f>'SMD'!D$114*D52</f>
        <v>0</v>
      </c>
      <c r="E149" s="6">
        <f>'SMD'!E$114*E52</f>
        <v>0</v>
      </c>
      <c r="F149" s="6">
        <f>'SMD'!F$114*F52</f>
        <v>0</v>
      </c>
      <c r="G149" s="6">
        <f>'SMD'!G$114*G52</f>
        <v>0</v>
      </c>
      <c r="H149" s="6">
        <f>'SMD'!H$114*H52</f>
        <v>0</v>
      </c>
      <c r="I149" s="6">
        <f>'SMD'!I$114*I52</f>
        <v>0</v>
      </c>
      <c r="J149" s="6">
        <f>'SMD'!J$114*J52</f>
        <v>0</v>
      </c>
      <c r="K149" s="10"/>
    </row>
    <row r="150" spans="1:11">
      <c r="A150" s="11" t="s">
        <v>214</v>
      </c>
      <c r="B150" s="6">
        <f>'SMD'!B$115*B53</f>
        <v>0</v>
      </c>
      <c r="C150" s="6">
        <f>'SMD'!C$115*C53</f>
        <v>0</v>
      </c>
      <c r="D150" s="6">
        <f>'SMD'!D$115*D53</f>
        <v>0</v>
      </c>
      <c r="E150" s="6">
        <f>'SMD'!E$115*E53</f>
        <v>0</v>
      </c>
      <c r="F150" s="6">
        <f>'SMD'!F$115*F53</f>
        <v>0</v>
      </c>
      <c r="G150" s="6">
        <f>'SMD'!G$115*G53</f>
        <v>0</v>
      </c>
      <c r="H150" s="6">
        <f>'SMD'!H$115*H53</f>
        <v>0</v>
      </c>
      <c r="I150" s="6">
        <f>'SMD'!I$115*I53</f>
        <v>0</v>
      </c>
      <c r="J150" s="6">
        <f>'SMD'!J$115*J53</f>
        <v>0</v>
      </c>
      <c r="K150" s="10"/>
    </row>
    <row r="151" spans="1:11">
      <c r="A151" s="11" t="s">
        <v>215</v>
      </c>
      <c r="B151" s="6">
        <f>'SMD'!B$116*B54</f>
        <v>0</v>
      </c>
      <c r="C151" s="6">
        <f>'SMD'!C$116*C54</f>
        <v>0</v>
      </c>
      <c r="D151" s="6">
        <f>'SMD'!D$116*D54</f>
        <v>0</v>
      </c>
      <c r="E151" s="6">
        <f>'SMD'!E$116*E54</f>
        <v>0</v>
      </c>
      <c r="F151" s="6">
        <f>'SMD'!F$116*F54</f>
        <v>0</v>
      </c>
      <c r="G151" s="6">
        <f>'SMD'!G$116*G54</f>
        <v>0</v>
      </c>
      <c r="H151" s="6">
        <f>'SMD'!H$116*H54</f>
        <v>0</v>
      </c>
      <c r="I151" s="6">
        <f>'SMD'!I$116*I54</f>
        <v>0</v>
      </c>
      <c r="J151" s="6">
        <f>'SMD'!J$116*J54</f>
        <v>0</v>
      </c>
      <c r="K151" s="10"/>
    </row>
    <row r="152" spans="1:11">
      <c r="A152" s="11" t="s">
        <v>216</v>
      </c>
      <c r="B152" s="6">
        <f>'SMD'!B$117*B55</f>
        <v>0</v>
      </c>
      <c r="C152" s="6">
        <f>'SMD'!C$117*C55</f>
        <v>0</v>
      </c>
      <c r="D152" s="6">
        <f>'SMD'!D$117*D55</f>
        <v>0</v>
      </c>
      <c r="E152" s="6">
        <f>'SMD'!E$117*E55</f>
        <v>0</v>
      </c>
      <c r="F152" s="6">
        <f>'SMD'!F$117*F55</f>
        <v>0</v>
      </c>
      <c r="G152" s="6">
        <f>'SMD'!G$117*G55</f>
        <v>0</v>
      </c>
      <c r="H152" s="6">
        <f>'SMD'!H$117*H55</f>
        <v>0</v>
      </c>
      <c r="I152" s="6">
        <f>'SMD'!I$117*I55</f>
        <v>0</v>
      </c>
      <c r="J152" s="6">
        <f>'SMD'!J$117*J55</f>
        <v>0</v>
      </c>
      <c r="K152" s="10"/>
    </row>
    <row r="154" spans="1:11">
      <c r="A154" s="1" t="s">
        <v>784</v>
      </c>
    </row>
    <row r="155" spans="1:11">
      <c r="A155" s="2" t="s">
        <v>349</v>
      </c>
    </row>
    <row r="156" spans="1:11">
      <c r="A156" s="12" t="s">
        <v>785</v>
      </c>
    </row>
    <row r="157" spans="1:11">
      <c r="A157" s="2" t="s">
        <v>753</v>
      </c>
    </row>
    <row r="159" spans="1:11">
      <c r="B159" s="3" t="s">
        <v>140</v>
      </c>
      <c r="C159" s="3" t="s">
        <v>141</v>
      </c>
      <c r="D159" s="3" t="s">
        <v>142</v>
      </c>
      <c r="E159" s="3" t="s">
        <v>143</v>
      </c>
      <c r="F159" s="3" t="s">
        <v>144</v>
      </c>
      <c r="G159" s="3" t="s">
        <v>149</v>
      </c>
      <c r="H159" s="3" t="s">
        <v>145</v>
      </c>
      <c r="I159" s="3" t="s">
        <v>146</v>
      </c>
      <c r="J159" s="3" t="s">
        <v>147</v>
      </c>
    </row>
    <row r="160" spans="1:11">
      <c r="A160" s="11" t="s">
        <v>786</v>
      </c>
      <c r="B160" s="17">
        <f>SUM(B$136:B$152)</f>
        <v>0</v>
      </c>
      <c r="C160" s="17">
        <f>SUM(C$136:C$152)</f>
        <v>0</v>
      </c>
      <c r="D160" s="17">
        <f>SUM(D$136:D$152)</f>
        <v>0</v>
      </c>
      <c r="E160" s="17">
        <f>SUM(E$136:E$152)</f>
        <v>0</v>
      </c>
      <c r="F160" s="17">
        <f>SUM(F$136:F$152)</f>
        <v>0</v>
      </c>
      <c r="G160" s="17">
        <f>SUM(G$136:G$152)</f>
        <v>0</v>
      </c>
      <c r="H160" s="17">
        <f>SUM(H$136:H$152)</f>
        <v>0</v>
      </c>
      <c r="I160" s="17">
        <f>SUM(I$136:I$152)</f>
        <v>0</v>
      </c>
      <c r="J160" s="17">
        <f>SUM(J$136:J$152)</f>
        <v>0</v>
      </c>
      <c r="K160" s="10"/>
    </row>
    <row r="162" spans="1:11">
      <c r="A162" s="1" t="s">
        <v>787</v>
      </c>
    </row>
    <row r="163" spans="1:11">
      <c r="A163" s="2" t="s">
        <v>349</v>
      </c>
    </row>
    <row r="164" spans="1:11">
      <c r="A164" s="12" t="s">
        <v>788</v>
      </c>
    </row>
    <row r="165" spans="1:11">
      <c r="A165" s="12" t="s">
        <v>789</v>
      </c>
    </row>
    <row r="166" spans="1:11">
      <c r="A166" s="2" t="s">
        <v>790</v>
      </c>
    </row>
    <row r="168" spans="1:11">
      <c r="B168" s="3" t="s">
        <v>147</v>
      </c>
    </row>
    <row r="169" spans="1:11">
      <c r="A169" s="11" t="s">
        <v>791</v>
      </c>
      <c r="B169" s="29">
        <f>$J127/$J160-1</f>
        <v>0</v>
      </c>
      <c r="C169" s="10"/>
    </row>
    <row r="171" spans="1:11">
      <c r="A171" s="1" t="s">
        <v>792</v>
      </c>
    </row>
    <row r="173" spans="1:11">
      <c r="B173" s="3" t="s">
        <v>140</v>
      </c>
      <c r="C173" s="3" t="s">
        <v>141</v>
      </c>
      <c r="D173" s="3" t="s">
        <v>142</v>
      </c>
      <c r="E173" s="3" t="s">
        <v>143</v>
      </c>
      <c r="F173" s="3" t="s">
        <v>144</v>
      </c>
      <c r="G173" s="3" t="s">
        <v>149</v>
      </c>
      <c r="H173" s="3" t="s">
        <v>145</v>
      </c>
      <c r="I173" s="3" t="s">
        <v>146</v>
      </c>
      <c r="J173" s="3" t="s">
        <v>147</v>
      </c>
    </row>
    <row r="174" spans="1:11">
      <c r="A174" s="11" t="s">
        <v>140</v>
      </c>
      <c r="B174" s="30">
        <v>1</v>
      </c>
      <c r="C174" s="30">
        <v>0</v>
      </c>
      <c r="D174" s="30">
        <v>0</v>
      </c>
      <c r="E174" s="30">
        <v>0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  <c r="K174" s="10"/>
    </row>
    <row r="175" spans="1:11">
      <c r="A175" s="11" t="s">
        <v>141</v>
      </c>
      <c r="B175" s="30">
        <v>0</v>
      </c>
      <c r="C175" s="30">
        <v>1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10"/>
    </row>
    <row r="176" spans="1:11">
      <c r="A176" s="11" t="s">
        <v>142</v>
      </c>
      <c r="B176" s="30">
        <v>0</v>
      </c>
      <c r="C176" s="30">
        <v>0</v>
      </c>
      <c r="D176" s="30">
        <v>1</v>
      </c>
      <c r="E176" s="30">
        <v>0</v>
      </c>
      <c r="F176" s="30">
        <v>0</v>
      </c>
      <c r="G176" s="30">
        <v>1</v>
      </c>
      <c r="H176" s="30">
        <v>0</v>
      </c>
      <c r="I176" s="30">
        <v>0</v>
      </c>
      <c r="J176" s="30">
        <v>0</v>
      </c>
      <c r="K176" s="10"/>
    </row>
    <row r="177" spans="1:11">
      <c r="A177" s="11" t="s">
        <v>143</v>
      </c>
      <c r="B177" s="30">
        <v>0</v>
      </c>
      <c r="C177" s="30">
        <v>0</v>
      </c>
      <c r="D177" s="30">
        <v>0</v>
      </c>
      <c r="E177" s="30">
        <v>1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10"/>
    </row>
    <row r="178" spans="1:11">
      <c r="A178" s="11" t="s">
        <v>144</v>
      </c>
      <c r="B178" s="30">
        <v>0</v>
      </c>
      <c r="C178" s="30">
        <v>0</v>
      </c>
      <c r="D178" s="30">
        <v>0</v>
      </c>
      <c r="E178" s="30">
        <v>0</v>
      </c>
      <c r="F178" s="30">
        <v>1</v>
      </c>
      <c r="G178" s="30">
        <v>0</v>
      </c>
      <c r="H178" s="30">
        <v>0</v>
      </c>
      <c r="I178" s="30">
        <v>0</v>
      </c>
      <c r="J178" s="30">
        <v>0</v>
      </c>
      <c r="K178" s="10"/>
    </row>
    <row r="179" spans="1:11">
      <c r="A179" s="11" t="s">
        <v>145</v>
      </c>
      <c r="B179" s="30">
        <v>0</v>
      </c>
      <c r="C179" s="30">
        <v>0</v>
      </c>
      <c r="D179" s="30">
        <v>0</v>
      </c>
      <c r="E179" s="30">
        <v>0</v>
      </c>
      <c r="F179" s="30">
        <v>0</v>
      </c>
      <c r="G179" s="30">
        <v>0</v>
      </c>
      <c r="H179" s="30">
        <v>1</v>
      </c>
      <c r="I179" s="30">
        <v>0</v>
      </c>
      <c r="J179" s="30">
        <v>0</v>
      </c>
      <c r="K179" s="10"/>
    </row>
    <row r="180" spans="1:11">
      <c r="A180" s="11" t="s">
        <v>146</v>
      </c>
      <c r="B180" s="30">
        <v>0</v>
      </c>
      <c r="C180" s="30">
        <v>0</v>
      </c>
      <c r="D180" s="30">
        <v>0</v>
      </c>
      <c r="E180" s="30">
        <v>0</v>
      </c>
      <c r="F180" s="30">
        <v>0</v>
      </c>
      <c r="G180" s="30">
        <v>0</v>
      </c>
      <c r="H180" s="30">
        <v>0</v>
      </c>
      <c r="I180" s="30">
        <v>1</v>
      </c>
      <c r="J180" s="30">
        <v>0</v>
      </c>
      <c r="K180" s="10"/>
    </row>
    <row r="181" spans="1:11">
      <c r="A181" s="11" t="s">
        <v>147</v>
      </c>
      <c r="B181" s="30">
        <v>0</v>
      </c>
      <c r="C181" s="30">
        <v>0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1</v>
      </c>
      <c r="K181" s="10"/>
    </row>
    <row r="183" spans="1:11">
      <c r="A183" s="1" t="s">
        <v>793</v>
      </c>
    </row>
    <row r="184" spans="1:11">
      <c r="A184" s="2" t="s">
        <v>349</v>
      </c>
    </row>
    <row r="185" spans="1:11">
      <c r="A185" s="12" t="s">
        <v>794</v>
      </c>
    </row>
    <row r="186" spans="1:11">
      <c r="A186" s="12" t="s">
        <v>795</v>
      </c>
    </row>
    <row r="187" spans="1:11">
      <c r="A187" s="2" t="s">
        <v>362</v>
      </c>
    </row>
    <row r="189" spans="1:11">
      <c r="B189" s="3" t="s">
        <v>796</v>
      </c>
    </row>
    <row r="190" spans="1:11">
      <c r="A190" s="11" t="s">
        <v>140</v>
      </c>
      <c r="B190" s="29">
        <f>SUMPRODUCT('DRM'!D$48:D$55,$B$174:$B$181)</f>
        <v>0</v>
      </c>
      <c r="C190" s="10"/>
    </row>
    <row r="191" spans="1:11">
      <c r="A191" s="11" t="s">
        <v>141</v>
      </c>
      <c r="B191" s="29">
        <f>SUMPRODUCT('DRM'!D$48:D$55,$C$174:$C$181)</f>
        <v>0</v>
      </c>
      <c r="C191" s="10"/>
    </row>
    <row r="192" spans="1:11">
      <c r="A192" s="11" t="s">
        <v>142</v>
      </c>
      <c r="B192" s="29">
        <f>SUMPRODUCT('DRM'!D$48:D$55,$D$174:$D$181)</f>
        <v>0</v>
      </c>
      <c r="C192" s="10"/>
    </row>
    <row r="193" spans="1:11">
      <c r="A193" s="11" t="s">
        <v>143</v>
      </c>
      <c r="B193" s="29">
        <f>SUMPRODUCT('DRM'!D$48:D$55,$E$174:$E$181)</f>
        <v>0</v>
      </c>
      <c r="C193" s="10"/>
    </row>
    <row r="194" spans="1:11">
      <c r="A194" s="11" t="s">
        <v>144</v>
      </c>
      <c r="B194" s="29">
        <f>SUMPRODUCT('DRM'!D$48:D$55,$F$174:$F$181)</f>
        <v>0</v>
      </c>
      <c r="C194" s="10"/>
    </row>
    <row r="195" spans="1:11">
      <c r="A195" s="11" t="s">
        <v>149</v>
      </c>
      <c r="B195" s="29">
        <f>SUMPRODUCT('DRM'!D$48:D$55,$G$174:$G$181)</f>
        <v>0</v>
      </c>
      <c r="C195" s="10"/>
    </row>
    <row r="196" spans="1:11">
      <c r="A196" s="11" t="s">
        <v>145</v>
      </c>
      <c r="B196" s="29">
        <f>SUMPRODUCT('DRM'!D$48:D$55,$H$174:$H$181)</f>
        <v>0</v>
      </c>
      <c r="C196" s="10"/>
    </row>
    <row r="197" spans="1:11">
      <c r="A197" s="11" t="s">
        <v>146</v>
      </c>
      <c r="B197" s="29">
        <f>SUMPRODUCT('DRM'!D$48:D$55,$I$174:$I$181)</f>
        <v>0</v>
      </c>
      <c r="C197" s="10"/>
    </row>
    <row r="198" spans="1:11">
      <c r="A198" s="11" t="s">
        <v>147</v>
      </c>
      <c r="B198" s="29">
        <f>SUMPRODUCT('DRM'!D$48:D$55,$J$174:$J$181)</f>
        <v>0</v>
      </c>
      <c r="C198" s="10"/>
    </row>
    <row r="200" spans="1:11">
      <c r="A200" s="1" t="s">
        <v>797</v>
      </c>
    </row>
    <row r="201" spans="1:11">
      <c r="A201" s="2" t="s">
        <v>349</v>
      </c>
    </row>
    <row r="202" spans="1:11">
      <c r="A202" s="12" t="s">
        <v>798</v>
      </c>
    </row>
    <row r="203" spans="1:11">
      <c r="A203" s="12" t="s">
        <v>799</v>
      </c>
    </row>
    <row r="204" spans="1:11">
      <c r="A204" s="2" t="s">
        <v>367</v>
      </c>
    </row>
    <row r="206" spans="1:11">
      <c r="B206" s="3" t="s">
        <v>140</v>
      </c>
      <c r="C206" s="3" t="s">
        <v>141</v>
      </c>
      <c r="D206" s="3" t="s">
        <v>142</v>
      </c>
      <c r="E206" s="3" t="s">
        <v>143</v>
      </c>
      <c r="F206" s="3" t="s">
        <v>144</v>
      </c>
      <c r="G206" s="3" t="s">
        <v>149</v>
      </c>
      <c r="H206" s="3" t="s">
        <v>145</v>
      </c>
      <c r="I206" s="3" t="s">
        <v>146</v>
      </c>
      <c r="J206" s="3" t="s">
        <v>147</v>
      </c>
    </row>
    <row r="207" spans="1:11">
      <c r="A207" s="11" t="s">
        <v>800</v>
      </c>
      <c r="B207" s="31">
        <f>$B$190</f>
        <v>0</v>
      </c>
      <c r="C207" s="31">
        <f>$B$191</f>
        <v>0</v>
      </c>
      <c r="D207" s="31">
        <f>$B$192</f>
        <v>0</v>
      </c>
      <c r="E207" s="31">
        <f>$B$193</f>
        <v>0</v>
      </c>
      <c r="F207" s="31">
        <f>$B$194</f>
        <v>0</v>
      </c>
      <c r="G207" s="31">
        <f>$B$195</f>
        <v>0</v>
      </c>
      <c r="H207" s="31">
        <f>$B$196</f>
        <v>0</v>
      </c>
      <c r="I207" s="31">
        <f>$B$197</f>
        <v>0</v>
      </c>
      <c r="J207" s="31">
        <f>$B169</f>
        <v>0</v>
      </c>
      <c r="K207" s="10"/>
    </row>
    <row r="209" spans="1:11">
      <c r="A209" s="1" t="s">
        <v>801</v>
      </c>
    </row>
    <row r="210" spans="1:11">
      <c r="A210" s="2" t="s">
        <v>349</v>
      </c>
    </row>
    <row r="211" spans="1:11">
      <c r="A211" s="12" t="s">
        <v>802</v>
      </c>
    </row>
    <row r="212" spans="1:11">
      <c r="A212" s="12" t="s">
        <v>789</v>
      </c>
    </row>
    <row r="213" spans="1:11">
      <c r="A213" s="12" t="s">
        <v>803</v>
      </c>
    </row>
    <row r="214" spans="1:11">
      <c r="A214" s="12" t="s">
        <v>804</v>
      </c>
    </row>
    <row r="215" spans="1:11">
      <c r="A215" s="2" t="s">
        <v>805</v>
      </c>
    </row>
    <row r="217" spans="1:11">
      <c r="B217" s="3" t="s">
        <v>140</v>
      </c>
      <c r="C217" s="3" t="s">
        <v>141</v>
      </c>
      <c r="D217" s="3" t="s">
        <v>142</v>
      </c>
      <c r="E217" s="3" t="s">
        <v>143</v>
      </c>
      <c r="F217" s="3" t="s">
        <v>144</v>
      </c>
      <c r="G217" s="3" t="s">
        <v>149</v>
      </c>
      <c r="H217" s="3" t="s">
        <v>145</v>
      </c>
      <c r="I217" s="3" t="s">
        <v>146</v>
      </c>
      <c r="J217" s="3" t="s">
        <v>147</v>
      </c>
    </row>
    <row r="218" spans="1:11">
      <c r="A218" s="11" t="s">
        <v>806</v>
      </c>
      <c r="B218" s="17">
        <f>'SMD'!B133-B160+B127/(1+B207)</f>
        <v>0</v>
      </c>
      <c r="C218" s="17">
        <f>'SMD'!C133-C160+C127/(1+C207)</f>
        <v>0</v>
      </c>
      <c r="D218" s="17">
        <f>'SMD'!D133-D160+D127/(1+D207)</f>
        <v>0</v>
      </c>
      <c r="E218" s="17">
        <f>'SMD'!E133-E160+E127/(1+E207)</f>
        <v>0</v>
      </c>
      <c r="F218" s="17">
        <f>'SMD'!F133-F160+F127/(1+F207)</f>
        <v>0</v>
      </c>
      <c r="G218" s="17">
        <f>'SMD'!G133-G160+G127/(1+G207)</f>
        <v>0</v>
      </c>
      <c r="H218" s="17">
        <f>'SMD'!H133-H160+H127/(1+H207)</f>
        <v>0</v>
      </c>
      <c r="I218" s="17">
        <f>'SMD'!I133-I160+I127/(1+I207)</f>
        <v>0</v>
      </c>
      <c r="J218" s="17">
        <f>'SMD'!J133-J160+J127/(1+J207)</f>
        <v>0</v>
      </c>
      <c r="K218" s="10"/>
    </row>
  </sheetData>
  <sheetProtection sheet="1" objects="1" scenarios="1"/>
  <hyperlinks>
    <hyperlink ref="A5" location="'AMD'!B12" display="x1 = Standing charges factors (in Pre-processing of data for standing charge factors)"/>
    <hyperlink ref="A6" location="'Input'!B79" display="x2 = 1018. Proportion of relevant load going through 132kV/HV direct transformation"/>
    <hyperlink ref="A7" location="'AMD'!J12" display="x3 = Standing charges factors for 132kV/HV (in Pre-processing of data for standing charge factors)"/>
    <hyperlink ref="A33" location="'AMD'!J12" display="x1 = 2601. Standing charges factors for 132kV/HV (in Pre-processing of data for standing charge factors)"/>
    <hyperlink ref="A34" location="'AMD'!K12" display="x2 = 2601. Adjusted standing charges factors for 132kV (in Pre-processing of data for standing charge factors)"/>
    <hyperlink ref="A35" location="'AMD'!B12" display="x3 = 2601. Standing charges factors (in Pre-processing of data for standing charge factors)"/>
    <hyperlink ref="A59" location="'Loads'!F281" display="x1 = 2305. Import capacity (kVA) (in Equivalent volume for each end user)"/>
    <hyperlink ref="A60" location="'Input'!E57" display="x2 = 1010. Power factor for all flows in the network model (in Financial and general assumptions)"/>
    <hyperlink ref="A61" location="'AMD'!B38" display="x3 = 2602. Standing charges factors adapted to use 132kV/HV"/>
    <hyperlink ref="A62" location="'LAFs'!B228" display="x4 = 2012. Loss adjustment factors between end user meter reading and each network level, scaled by network use"/>
    <hyperlink ref="A72" location="'Multi'!B108" display="x1 = 2407. All units (MWh)"/>
    <hyperlink ref="A73" location="'Input'!C157" display="x2 = 1041. Load factor for each type of demand user (in Load profile data for demand users)"/>
    <hyperlink ref="A74" location="'AMD'!B38" display="x3 = 2602. Standing charges factors adapted to use 132kV/HV"/>
    <hyperlink ref="A75" location="'LAFs'!B228" display="x4 = 2012. Loss adjustment factors between end user meter reading and each network level, scaled by network use"/>
    <hyperlink ref="A76" location="'Input'!F57" display="x5 = 1010. Days in the charging year (in Financial and general assumptions)"/>
    <hyperlink ref="A100" location="'AMD'!B65" display="x1 = 2603. Capacity-based contributions to chargeable aggregate maximum load by network level (kW)"/>
    <hyperlink ref="A101" location="'AMD'!B79" display="x2 = 2604. Unit-based contributions to chargeable aggregate maximum load (kW)"/>
    <hyperlink ref="A123" location="'AMD'!B104" display="x1 = 2605. Contributions to aggregate maximum load by network level (kW)"/>
    <hyperlink ref="A131" location="'SMD'!B100" display="x1 = 2505. Contributions of users on each tariff to system simultaneous maximum load by network level (kW)"/>
    <hyperlink ref="A132" location="'AMD'!B38" display="x2 = 2602. Standing charges factors adapted to use 132kV/HV"/>
    <hyperlink ref="A156" location="'AMD'!B135" display="x1 = 2607. Forecast simultaneous load subject to standing charge factors (kW)"/>
    <hyperlink ref="A164" location="'AMD'!B126" display="x1 = 2606. Forecast chargeable aggregate maximum load (kW)"/>
    <hyperlink ref="A165" location="'AMD'!B159" display="x2 = 2608. Forecast simultaneous load replaced by standing charge (kW)"/>
    <hyperlink ref="A185" location="'DRM'!D47" display="x1 = 2104. Diversity allowance between level exit and GSP Group (in Diversity calculations)"/>
    <hyperlink ref="A186" location="'AMD'!B173" display="x2 = 2610. Network level mapping for diversity allowances"/>
    <hyperlink ref="A202" location="'AMD'!B168" display="x1 = 2609. Calculated LV diversity allowance"/>
    <hyperlink ref="A203" location="'AMD'!B189" display="x2 = 2611. Diversity allowances including 132kV/HV"/>
    <hyperlink ref="A211" location="'SMD'!B132" display="x1 = 2506. Forecast system simultaneous maximum load (kW) from forecast units"/>
    <hyperlink ref="A212" location="'AMD'!B159" display="x2 = 2608. Forecast simultaneous load replaced by standing charge (kW)"/>
    <hyperlink ref="A213" location="'AMD'!B126" display="x3 = 2606. Forecast chargeable aggregate maximum load (kW)"/>
    <hyperlink ref="A214" location="'AMD'!B206" display="x4 = 2612. Diversity allowances (including calculated LV value)"/>
  </hyperlinks>
  <pageMargins left="0.7" right="0.7" top="0.75" bottom="0.75" header="0.3" footer="0.3"/>
  <pageSetup fitToHeight="0" orientation="portrait"/>
  <headerFooter>
    <oddHeader>&amp;L&amp;A&amp;Cr6432&amp;R&amp;P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</vt:i4>
      </vt:variant>
    </vt:vector>
  </HeadingPairs>
  <TitlesOfParts>
    <vt:vector size="26" baseType="lpstr">
      <vt:lpstr>Index</vt:lpstr>
      <vt:lpstr>Input</vt:lpstr>
      <vt:lpstr>LAFs</vt:lpstr>
      <vt:lpstr>DRM</vt:lpstr>
      <vt:lpstr>SM</vt:lpstr>
      <vt:lpstr>Loads</vt:lpstr>
      <vt:lpstr>Multi</vt:lpstr>
      <vt:lpstr>SMD</vt:lpstr>
      <vt:lpstr>AMD</vt:lpstr>
      <vt:lpstr>Otex</vt:lpstr>
      <vt:lpstr>Contrib</vt:lpstr>
      <vt:lpstr>Yard</vt:lpstr>
      <vt:lpstr>Standing</vt:lpstr>
      <vt:lpstr>NHH</vt:lpstr>
      <vt:lpstr>Reactive</vt:lpstr>
      <vt:lpstr>Aggreg</vt:lpstr>
      <vt:lpstr>Revenue</vt:lpstr>
      <vt:lpstr>Adder</vt:lpstr>
      <vt:lpstr>Adjust</vt:lpstr>
      <vt:lpstr>Tariffs</vt:lpstr>
      <vt:lpstr>Summary</vt:lpstr>
      <vt:lpstr>M-ATW</vt:lpstr>
      <vt:lpstr>M-Rev</vt:lpstr>
      <vt:lpstr>CData</vt:lpstr>
      <vt:lpstr>CTables</vt:lpstr>
      <vt:lpstr>'Multi'!Print_Area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2014-02-11T17:07:02Z</dcterms:created>
  <dcterms:modified xsi:type="dcterms:W3CDTF">2014-02-11T17:07:02Z</dcterms:modified>
</cp:coreProperties>
</file>