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&amp;S\REG\Clause 35A\Aug 2022\"/>
    </mc:Choice>
  </mc:AlternateContent>
  <bookViews>
    <workbookView xWindow="60" yWindow="525" windowWidth="17775" windowHeight="7515" activeTab="2"/>
  </bookViews>
  <sheets>
    <sheet name="Table1" sheetId="1" r:id="rId1"/>
    <sheet name="Table2" sheetId="2" r:id="rId2"/>
    <sheet name="Table3" sheetId="3" r:id="rId3"/>
    <sheet name="SOLR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2">Table3!$A$1:$K$60</definedName>
  </definedNames>
  <calcPr calcId="162913"/>
</workbook>
</file>

<file path=xl/calcChain.xml><?xml version="1.0" encoding="utf-8"?>
<calcChain xmlns="http://schemas.openxmlformats.org/spreadsheetml/2006/main">
  <c r="I40" i="3" l="1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E18" i="1" l="1"/>
  <c r="D51" i="1" l="1"/>
  <c r="E30" i="1"/>
  <c r="D30" i="1"/>
  <c r="E27" i="1"/>
  <c r="E20" i="1"/>
  <c r="E10" i="1"/>
  <c r="E8" i="1"/>
  <c r="D8" i="1"/>
  <c r="E7" i="1"/>
  <c r="D7" i="1"/>
  <c r="I7" i="1"/>
  <c r="H7" i="1"/>
  <c r="G7" i="1"/>
  <c r="F7" i="1"/>
  <c r="F50" i="1"/>
  <c r="E50" i="1"/>
  <c r="D50" i="1"/>
  <c r="F44" i="1"/>
  <c r="E44" i="1"/>
  <c r="D44" i="1"/>
  <c r="G10" i="2" l="1"/>
  <c r="J17" i="2"/>
  <c r="I16" i="2"/>
  <c r="I15" i="2"/>
  <c r="I13" i="2"/>
  <c r="F16" i="2"/>
  <c r="F15" i="2"/>
  <c r="F13" i="2"/>
  <c r="I34" i="1" l="1"/>
  <c r="I42" i="1"/>
  <c r="I22" i="1"/>
  <c r="H15" i="2" l="1"/>
  <c r="C85" i="4" l="1"/>
  <c r="D85" i="4"/>
  <c r="E85" i="4"/>
  <c r="F85" i="4"/>
  <c r="G85" i="4"/>
  <c r="H85" i="4"/>
  <c r="I85" i="4"/>
  <c r="J85" i="4"/>
  <c r="B85" i="4"/>
  <c r="F75" i="4"/>
  <c r="B75" i="4" l="1"/>
  <c r="D75" i="4"/>
  <c r="E75" i="4"/>
  <c r="I75" i="4"/>
  <c r="C75" i="4"/>
  <c r="H75" i="4"/>
  <c r="G75" i="4"/>
  <c r="F51" i="1" l="1"/>
  <c r="F19" i="2" s="1"/>
  <c r="F33" i="1" l="1"/>
  <c r="F42" i="1"/>
  <c r="A40" i="3" l="1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H9" i="1" l="1"/>
  <c r="H8" i="1"/>
  <c r="E57" i="4" l="1"/>
  <c r="E56" i="4"/>
  <c r="E55" i="4"/>
  <c r="E54" i="4"/>
  <c r="E65" i="4"/>
  <c r="D65" i="4"/>
  <c r="E64" i="4"/>
  <c r="D64" i="4"/>
  <c r="E63" i="4"/>
  <c r="D63" i="4"/>
  <c r="E62" i="4"/>
  <c r="D62" i="4"/>
  <c r="D57" i="4"/>
  <c r="D56" i="4"/>
  <c r="D55" i="4"/>
  <c r="D54" i="4"/>
  <c r="D49" i="4"/>
  <c r="C49" i="4"/>
  <c r="D48" i="4"/>
  <c r="C48" i="4"/>
  <c r="D47" i="4"/>
  <c r="C47" i="4"/>
  <c r="D46" i="4"/>
  <c r="C46" i="4"/>
  <c r="C41" i="4"/>
  <c r="C40" i="4"/>
  <c r="C39" i="4"/>
  <c r="C38" i="4"/>
  <c r="C33" i="4"/>
  <c r="C32" i="4"/>
  <c r="C31" i="4"/>
  <c r="C30" i="4"/>
  <c r="C25" i="4"/>
  <c r="B25" i="4"/>
  <c r="C24" i="4"/>
  <c r="B24" i="4"/>
  <c r="C23" i="4"/>
  <c r="B23" i="4"/>
  <c r="C22" i="4"/>
  <c r="B22" i="4"/>
  <c r="C17" i="4"/>
  <c r="C16" i="4"/>
  <c r="C15" i="4"/>
  <c r="C14" i="4"/>
  <c r="C9" i="4"/>
  <c r="C8" i="4"/>
  <c r="C7" i="4"/>
  <c r="C6" i="4"/>
  <c r="B7" i="4" l="1"/>
  <c r="B15" i="4"/>
  <c r="B16" i="4"/>
  <c r="B17" i="4"/>
  <c r="B6" i="4"/>
  <c r="B14" i="4"/>
  <c r="B8" i="4"/>
  <c r="B9" i="4"/>
  <c r="D8" i="4" l="1"/>
  <c r="D6" i="4"/>
  <c r="D14" i="4"/>
  <c r="D7" i="4"/>
  <c r="D16" i="4"/>
  <c r="D9" i="4"/>
  <c r="D17" i="4"/>
  <c r="D15" i="4"/>
  <c r="J13" i="2" l="1"/>
  <c r="H13" i="2" l="1"/>
  <c r="H42" i="1" l="1"/>
  <c r="H34" i="1"/>
  <c r="H22" i="1"/>
  <c r="E13" i="2" l="1"/>
  <c r="G13" i="2"/>
  <c r="E15" i="2"/>
  <c r="G42" i="1"/>
  <c r="G33" i="1" l="1"/>
  <c r="E42" i="1" l="1"/>
  <c r="D42" i="1"/>
  <c r="B2" i="2"/>
  <c r="B1" i="2"/>
  <c r="C2" i="3"/>
  <c r="C1" i="3"/>
  <c r="D48" i="1" l="1"/>
  <c r="E48" i="1" l="1"/>
  <c r="F48" i="1" l="1"/>
  <c r="E19" i="2" l="1"/>
  <c r="G19" i="2"/>
  <c r="E26" i="1" l="1"/>
  <c r="E17" i="1" l="1"/>
  <c r="E14" i="1"/>
  <c r="E16" i="1"/>
  <c r="E15" i="1"/>
  <c r="E12" i="1"/>
  <c r="E13" i="1"/>
  <c r="E24" i="1" l="1"/>
  <c r="F18" i="1" l="1"/>
  <c r="F16" i="1"/>
  <c r="F14" i="1"/>
  <c r="F12" i="1"/>
  <c r="F13" i="1"/>
  <c r="F15" i="1"/>
  <c r="F10" i="2" l="1"/>
  <c r="E10" i="2" s="1"/>
  <c r="F17" i="1" l="1"/>
  <c r="G26" i="1" l="1"/>
  <c r="F26" i="1"/>
  <c r="F14" i="2" l="1"/>
  <c r="I14" i="2"/>
  <c r="G14" i="2" l="1"/>
  <c r="E14" i="2"/>
  <c r="F24" i="1" l="1"/>
  <c r="F12" i="2" l="1"/>
  <c r="E12" i="2" l="1"/>
  <c r="G12" i="2"/>
  <c r="D32" i="1" l="1"/>
  <c r="E32" i="1"/>
  <c r="D25" i="1" l="1"/>
  <c r="E25" i="1" l="1"/>
  <c r="D26" i="1" l="1"/>
  <c r="H14" i="2" l="1"/>
  <c r="J14" i="2"/>
  <c r="D20" i="1" l="1"/>
  <c r="E19" i="1" l="1"/>
  <c r="D19" i="1"/>
  <c r="D18" i="1" l="1"/>
  <c r="E22" i="1"/>
  <c r="D16" i="1" l="1"/>
  <c r="D14" i="1"/>
  <c r="D13" i="1"/>
  <c r="D12" i="1"/>
  <c r="D10" i="1"/>
  <c r="D17" i="1"/>
  <c r="D15" i="1"/>
  <c r="D22" i="1" l="1"/>
  <c r="D27" i="1"/>
  <c r="D24" i="1" l="1"/>
  <c r="E9" i="1" l="1"/>
  <c r="D9" i="1"/>
  <c r="D11" i="1" l="1"/>
  <c r="E11" i="1"/>
  <c r="D28" i="1"/>
  <c r="E28" i="1"/>
  <c r="G16" i="2" l="1"/>
  <c r="H16" i="2"/>
  <c r="D35" i="1" l="1"/>
  <c r="E35" i="1" l="1"/>
  <c r="F10" i="1" l="1"/>
  <c r="G10" i="1" l="1"/>
  <c r="H10" i="1"/>
  <c r="H11" i="1" s="1"/>
  <c r="H36" i="1" s="1"/>
  <c r="H43" i="1" l="1"/>
  <c r="I10" i="1"/>
  <c r="I11" i="1" s="1"/>
  <c r="I36" i="1" s="1"/>
  <c r="I43" i="1" l="1"/>
  <c r="I53" i="1"/>
  <c r="H51" i="1"/>
  <c r="H52" i="1" l="1"/>
  <c r="I51" i="1"/>
  <c r="I52" i="1" l="1"/>
  <c r="I54" i="1"/>
  <c r="F8" i="1" l="1"/>
  <c r="G9" i="2" l="1"/>
  <c r="F9" i="2"/>
  <c r="E9" i="2"/>
  <c r="H9" i="2" s="1"/>
  <c r="G8" i="1" l="1"/>
  <c r="I9" i="2" l="1"/>
  <c r="F19" i="1" l="1"/>
  <c r="G19" i="1"/>
  <c r="G18" i="1"/>
  <c r="I10" i="2" l="1"/>
  <c r="H10" i="2" s="1"/>
  <c r="F22" i="1"/>
  <c r="J10" i="2" l="1"/>
  <c r="G17" i="1"/>
  <c r="G16" i="1"/>
  <c r="G15" i="1"/>
  <c r="G14" i="1"/>
  <c r="G12" i="1"/>
  <c r="G13" i="1"/>
  <c r="G22" i="1" l="1"/>
  <c r="G24" i="1" l="1"/>
  <c r="J12" i="2" l="1"/>
  <c r="H12" i="2"/>
  <c r="I12" i="2"/>
  <c r="F9" i="1" l="1"/>
  <c r="F8" i="2" l="1"/>
  <c r="F11" i="1"/>
  <c r="E8" i="2" l="1"/>
  <c r="G8" i="2"/>
  <c r="G9" i="1" l="1"/>
  <c r="I8" i="2" l="1"/>
  <c r="G11" i="1"/>
  <c r="J16" i="2" l="1"/>
  <c r="J8" i="2"/>
  <c r="H8" i="2"/>
  <c r="E51" i="1" l="1"/>
  <c r="F54" i="1" l="1"/>
  <c r="E54" i="1"/>
  <c r="F23" i="1" l="1"/>
  <c r="F11" i="2" l="1"/>
  <c r="F34" i="1"/>
  <c r="G11" i="2" l="1"/>
  <c r="E11" i="2"/>
  <c r="D23" i="1" l="1"/>
  <c r="D34" i="1" l="1"/>
  <c r="E23" i="1"/>
  <c r="D36" i="1" l="1"/>
  <c r="E34" i="1"/>
  <c r="D43" i="1"/>
  <c r="E36" i="1" l="1"/>
  <c r="D52" i="1"/>
  <c r="D49" i="1"/>
  <c r="E53" i="1" l="1"/>
  <c r="E43" i="1"/>
  <c r="E52" i="1"/>
  <c r="D58" i="1"/>
  <c r="C7" i="2" l="1"/>
  <c r="B7" i="2"/>
  <c r="D7" i="2"/>
  <c r="E49" i="1"/>
  <c r="E58" i="1"/>
  <c r="F35" i="1" l="1"/>
  <c r="F36" i="1" l="1"/>
  <c r="F43" i="1" l="1"/>
  <c r="F52" i="1"/>
  <c r="F53" i="1"/>
  <c r="F7" i="2" l="1"/>
  <c r="G7" i="2" s="1"/>
  <c r="G35" i="1"/>
  <c r="F49" i="1"/>
  <c r="F18" i="2"/>
  <c r="G23" i="1"/>
  <c r="E7" i="2" l="1"/>
  <c r="E18" i="2"/>
  <c r="G18" i="2"/>
  <c r="I11" i="2"/>
  <c r="G34" i="1"/>
  <c r="G36" i="1" s="1"/>
  <c r="H11" i="2"/>
  <c r="J11" i="2"/>
  <c r="H53" i="1" l="1"/>
  <c r="G53" i="1"/>
  <c r="G43" i="1"/>
  <c r="G44" i="1" l="1"/>
  <c r="G48" i="1" s="1"/>
  <c r="G49" i="1" s="1"/>
  <c r="G50" i="1" s="1"/>
  <c r="G51" i="1"/>
  <c r="I18" i="2"/>
  <c r="H44" i="1"/>
  <c r="I44" i="1" l="1"/>
  <c r="I48" i="1" s="1"/>
  <c r="I49" i="1" s="1"/>
  <c r="I50" i="1" s="1"/>
  <c r="H48" i="1"/>
  <c r="H49" i="1" s="1"/>
  <c r="H50" i="1" s="1"/>
  <c r="G54" i="1"/>
  <c r="I19" i="2"/>
  <c r="G52" i="1"/>
  <c r="H54" i="1"/>
  <c r="J18" i="2"/>
  <c r="J19" i="2" s="1"/>
  <c r="H18" i="2"/>
  <c r="H19" i="2" s="1"/>
</calcChain>
</file>

<file path=xl/sharedStrings.xml><?xml version="1.0" encoding="utf-8"?>
<sst xmlns="http://schemas.openxmlformats.org/spreadsheetml/2006/main" count="326" uniqueCount="211">
  <si>
    <r>
      <rPr>
        <b/>
        <sz val="12"/>
        <rFont val="Times New Roman"/>
        <family val="1"/>
      </rPr>
      <t>Title:                                                           DCUSA Schedule 15 - Table 1 information</t>
    </r>
  </si>
  <si>
    <r>
      <rPr>
        <b/>
        <sz val="12"/>
        <rFont val="Times New Roman"/>
        <family val="1"/>
      </rPr>
      <t>Description</t>
    </r>
  </si>
  <si>
    <r>
      <rPr>
        <b/>
        <sz val="12"/>
        <rFont val="Times New Roman"/>
        <family val="1"/>
      </rPr>
      <t>Licence Term</t>
    </r>
  </si>
  <si>
    <r>
      <rPr>
        <b/>
        <sz val="12"/>
        <rFont val="Times New Roman"/>
        <family val="1"/>
      </rPr>
      <t>CRC</t>
    </r>
  </si>
  <si>
    <r>
      <rPr>
        <sz val="12"/>
        <rFont val="Times New Roman"/>
        <family val="1"/>
      </rPr>
      <t>Assumptions</t>
    </r>
  </si>
  <si>
    <r>
      <rPr>
        <b/>
        <sz val="12"/>
        <rFont val="Times New Roman"/>
        <family val="1"/>
      </rPr>
      <t>Regulatory Year</t>
    </r>
  </si>
  <si>
    <r>
      <rPr>
        <b/>
        <sz val="12"/>
        <rFont val="Times New Roman"/>
        <family val="1"/>
      </rPr>
      <t>t-1</t>
    </r>
  </si>
  <si>
    <r>
      <rPr>
        <b/>
        <sz val="12"/>
        <rFont val="Times New Roman"/>
        <family val="1"/>
      </rPr>
      <t>t</t>
    </r>
  </si>
  <si>
    <r>
      <rPr>
        <b/>
        <sz val="12"/>
        <rFont val="Times New Roman"/>
        <family val="1"/>
      </rPr>
      <t>t+2</t>
    </r>
  </si>
  <si>
    <r>
      <rPr>
        <b/>
        <sz val="12"/>
        <rFont val="Times New Roman"/>
        <family val="1"/>
      </rPr>
      <t>t+3</t>
    </r>
  </si>
  <si>
    <r>
      <rPr>
        <sz val="12"/>
        <rFont val="Times New Roman"/>
        <family val="1"/>
      </rPr>
      <t>Base Demand Revenue before inflation (A1)</t>
    </r>
  </si>
  <si>
    <r>
      <rPr>
        <sz val="12"/>
        <rFont val="Times New Roman"/>
        <family val="1"/>
      </rPr>
      <t>PU</t>
    </r>
  </si>
  <si>
    <r>
      <rPr>
        <sz val="12"/>
        <rFont val="Times New Roman"/>
        <family val="1"/>
      </rPr>
      <t>CRC2A</t>
    </r>
  </si>
  <si>
    <r>
      <rPr>
        <sz val="12"/>
        <rFont val="Times New Roman"/>
        <family val="1"/>
      </rPr>
      <t>Annual Iteration adjustment before inflation (A2)</t>
    </r>
  </si>
  <si>
    <r>
      <rPr>
        <sz val="12"/>
        <rFont val="Times New Roman"/>
        <family val="1"/>
      </rPr>
      <t>MOD</t>
    </r>
  </si>
  <si>
    <r>
      <rPr>
        <sz val="12"/>
        <rFont val="Times New Roman"/>
        <family val="1"/>
      </rPr>
      <t>RPI True-up before inflation (A3)</t>
    </r>
  </si>
  <si>
    <r>
      <rPr>
        <sz val="12"/>
        <rFont val="Times New Roman"/>
        <family val="1"/>
      </rPr>
      <t>TRU</t>
    </r>
  </si>
  <si>
    <r>
      <rPr>
        <sz val="12"/>
        <rFont val="Times New Roman"/>
        <family val="1"/>
      </rPr>
      <t>Price index adjustment (A4)</t>
    </r>
  </si>
  <si>
    <r>
      <rPr>
        <sz val="12"/>
        <rFont val="Times New Roman"/>
        <family val="1"/>
      </rPr>
      <t>RPIF</t>
    </r>
  </si>
  <si>
    <r>
      <rPr>
        <b/>
        <sz val="12"/>
        <rFont val="Times New Roman"/>
        <family val="1"/>
      </rPr>
      <t>Base demand revenue (A): [A = (A1 + A2 + A3) * A4]</t>
    </r>
  </si>
  <si>
    <r>
      <rPr>
        <b/>
        <sz val="12"/>
        <rFont val="Times New Roman"/>
        <family val="1"/>
      </rPr>
      <t>BR</t>
    </r>
  </si>
  <si>
    <r>
      <rPr>
        <b/>
        <sz val="12"/>
        <rFont val="Times New Roman"/>
        <family val="1"/>
      </rPr>
      <t>CRC2A</t>
    </r>
  </si>
  <si>
    <r>
      <rPr>
        <sz val="12"/>
        <rFont val="Times New Roman"/>
        <family val="1"/>
      </rPr>
      <t>A = (A1 + A2 + A3) * A4</t>
    </r>
  </si>
  <si>
    <r>
      <rPr>
        <sz val="12"/>
        <rFont val="Times New Roman"/>
        <family val="1"/>
      </rPr>
      <t>Pass-Through Licence Fees (B1)</t>
    </r>
  </si>
  <si>
    <r>
      <rPr>
        <sz val="12"/>
        <rFont val="Times New Roman"/>
        <family val="1"/>
      </rPr>
      <t>LF</t>
    </r>
  </si>
  <si>
    <r>
      <rPr>
        <sz val="12"/>
        <rFont val="Times New Roman"/>
        <family val="1"/>
      </rPr>
      <t>CRC2B</t>
    </r>
  </si>
  <si>
    <r>
      <rPr>
        <sz val="12"/>
        <rFont val="Times New Roman"/>
        <family val="1"/>
      </rPr>
      <t>Pass-Through Business Rates (B2)</t>
    </r>
  </si>
  <si>
    <r>
      <rPr>
        <sz val="12"/>
        <rFont val="Times New Roman"/>
        <family val="1"/>
      </rPr>
      <t>RB</t>
    </r>
  </si>
  <si>
    <r>
      <rPr>
        <sz val="12"/>
        <rFont val="Times New Roman"/>
        <family val="1"/>
      </rPr>
      <t>TB</t>
    </r>
  </si>
  <si>
    <r>
      <rPr>
        <sz val="12"/>
        <rFont val="Times New Roman"/>
        <family val="1"/>
      </rPr>
      <t>Pass-through Smart Meter Communication Licence Costs (B4)</t>
    </r>
  </si>
  <si>
    <r>
      <rPr>
        <sz val="12"/>
        <rFont val="Times New Roman"/>
        <family val="1"/>
      </rPr>
      <t>SMC</t>
    </r>
  </si>
  <si>
    <r>
      <rPr>
        <sz val="12"/>
        <rFont val="Times New Roman"/>
        <family val="1"/>
      </rPr>
      <t>Pass-through Smart Meter IT Costs (B5)</t>
    </r>
  </si>
  <si>
    <r>
      <rPr>
        <sz val="12"/>
        <rFont val="Times New Roman"/>
        <family val="1"/>
      </rPr>
      <t>SMIT</t>
    </r>
  </si>
  <si>
    <r>
      <rPr>
        <sz val="12"/>
        <rFont val="Times New Roman"/>
        <family val="1"/>
      </rPr>
      <t>Pass-through Ring Fence Costs (B6)</t>
    </r>
  </si>
  <si>
    <r>
      <rPr>
        <sz val="12"/>
        <rFont val="Times New Roman"/>
        <family val="1"/>
      </rPr>
      <t>RF</t>
    </r>
  </si>
  <si>
    <r>
      <rPr>
        <sz val="12"/>
        <rFont val="Times New Roman"/>
        <family val="1"/>
      </rPr>
      <t>HB</t>
    </r>
    <r>
      <rPr>
        <sz val="8"/>
        <rFont val="Times New Roman"/>
        <family val="1"/>
      </rPr>
      <t xml:space="preserve">, </t>
    </r>
    <r>
      <rPr>
        <sz val="12"/>
        <rFont val="Times New Roman"/>
        <family val="1"/>
      </rPr>
      <t>SEC, UNC</t>
    </r>
  </si>
  <si>
    <r>
      <rPr>
        <b/>
        <sz val="12"/>
        <rFont val="Times New Roman"/>
        <family val="1"/>
      </rPr>
      <t>PT</t>
    </r>
  </si>
  <si>
    <r>
      <rPr>
        <b/>
        <sz val="12"/>
        <rFont val="Times New Roman"/>
        <family val="1"/>
      </rPr>
      <t>CRC2B</t>
    </r>
  </si>
  <si>
    <r>
      <rPr>
        <sz val="12"/>
        <rFont val="Times New Roman"/>
        <family val="1"/>
      </rPr>
      <t xml:space="preserve">B = B1 + B2
</t>
    </r>
    <r>
      <rPr>
        <sz val="12"/>
        <rFont val="Times New Roman"/>
        <family val="1"/>
      </rPr>
      <t>+ B3 + B4 + B5 + B6 + B7</t>
    </r>
  </si>
  <si>
    <r>
      <rPr>
        <sz val="12"/>
        <rFont val="Times New Roman"/>
        <family val="1"/>
      </rPr>
      <t>Broad Measure of Customer Service incentive (C1)</t>
    </r>
  </si>
  <si>
    <r>
      <rPr>
        <sz val="12"/>
        <rFont val="Times New Roman"/>
        <family val="1"/>
      </rPr>
      <t>BM</t>
    </r>
  </si>
  <si>
    <r>
      <rPr>
        <sz val="12"/>
        <rFont val="Times New Roman"/>
        <family val="1"/>
      </rPr>
      <t>CRC2C</t>
    </r>
  </si>
  <si>
    <r>
      <rPr>
        <sz val="12"/>
        <rFont val="Times New Roman"/>
        <family val="1"/>
      </rPr>
      <t>Quality of Service incentive (C2)</t>
    </r>
  </si>
  <si>
    <r>
      <rPr>
        <sz val="12"/>
        <rFont val="Times New Roman"/>
        <family val="1"/>
      </rPr>
      <t>IQ</t>
    </r>
  </si>
  <si>
    <r>
      <rPr>
        <sz val="12"/>
        <rFont val="Times New Roman"/>
        <family val="1"/>
      </rPr>
      <t>CRC2D</t>
    </r>
  </si>
  <si>
    <r>
      <rPr>
        <sz val="12"/>
        <rFont val="Times New Roman"/>
        <family val="1"/>
      </rPr>
      <t>Connections Engagement incentive (C3)</t>
    </r>
  </si>
  <si>
    <r>
      <rPr>
        <sz val="12"/>
        <rFont val="Times New Roman"/>
        <family val="1"/>
      </rPr>
      <t>ICE</t>
    </r>
  </si>
  <si>
    <r>
      <rPr>
        <sz val="12"/>
        <rFont val="Times New Roman"/>
        <family val="1"/>
      </rPr>
      <t>CRC2E</t>
    </r>
  </si>
  <si>
    <r>
      <rPr>
        <sz val="12"/>
        <rFont val="Times New Roman"/>
        <family val="1"/>
      </rPr>
      <t>Time to Connect incentive (C4)</t>
    </r>
  </si>
  <si>
    <r>
      <rPr>
        <sz val="12"/>
        <rFont val="Times New Roman"/>
        <family val="1"/>
      </rPr>
      <t>TTC</t>
    </r>
  </si>
  <si>
    <r>
      <rPr>
        <sz val="12"/>
        <rFont val="Times New Roman"/>
        <family val="1"/>
      </rPr>
      <t>CRC2F</t>
    </r>
  </si>
  <si>
    <r>
      <rPr>
        <sz val="12"/>
        <rFont val="Times New Roman"/>
        <family val="1"/>
      </rPr>
      <t>Losses Discretionary Reward incentive (C5)</t>
    </r>
  </si>
  <si>
    <r>
      <rPr>
        <sz val="12"/>
        <rFont val="Times New Roman"/>
        <family val="1"/>
      </rPr>
      <t>LDR</t>
    </r>
  </si>
  <si>
    <r>
      <rPr>
        <sz val="12"/>
        <rFont val="Times New Roman"/>
        <family val="1"/>
      </rPr>
      <t>CRC2G</t>
    </r>
  </si>
  <si>
    <r>
      <rPr>
        <sz val="12"/>
        <rFont val="Times New Roman"/>
        <family val="1"/>
      </rPr>
      <t>Network Innovation Allowance (C6)</t>
    </r>
  </si>
  <si>
    <r>
      <rPr>
        <sz val="12"/>
        <rFont val="Times New Roman"/>
        <family val="1"/>
      </rPr>
      <t>NIA</t>
    </r>
  </si>
  <si>
    <r>
      <rPr>
        <sz val="12"/>
        <rFont val="Times New Roman"/>
        <family val="1"/>
      </rPr>
      <t>CRC2H</t>
    </r>
  </si>
  <si>
    <r>
      <rPr>
        <sz val="12"/>
        <rFont val="Times New Roman"/>
        <family val="1"/>
      </rPr>
      <t>Low Carbon Networks Fund (C7)</t>
    </r>
  </si>
  <si>
    <r>
      <rPr>
        <sz val="12"/>
        <rFont val="Times New Roman"/>
        <family val="1"/>
      </rPr>
      <t>LCN1</t>
    </r>
  </si>
  <si>
    <r>
      <rPr>
        <sz val="12"/>
        <rFont val="Times New Roman"/>
        <family val="1"/>
      </rPr>
      <t>CRC2J</t>
    </r>
  </si>
  <si>
    <r>
      <rPr>
        <sz val="12"/>
        <rFont val="Times New Roman"/>
        <family val="1"/>
      </rPr>
      <t>LCN2</t>
    </r>
  </si>
  <si>
    <r>
      <rPr>
        <sz val="12"/>
        <rFont val="Times New Roman"/>
        <family val="1"/>
      </rPr>
      <t>Connection Guaranteed Standards Systems &amp; Processes penalty (C8)</t>
    </r>
  </si>
  <si>
    <r>
      <rPr>
        <sz val="12"/>
        <rFont val="Times New Roman"/>
        <family val="1"/>
      </rPr>
      <t>AUM, CGSRA</t>
    </r>
  </si>
  <si>
    <r>
      <rPr>
        <sz val="12"/>
        <rFont val="Times New Roman"/>
        <family val="1"/>
      </rPr>
      <t>CRC2K- L</t>
    </r>
  </si>
  <si>
    <r>
      <rPr>
        <sz val="12"/>
        <rFont val="Times New Roman"/>
        <family val="1"/>
      </rPr>
      <t>Residual Losses and Growth incentive (C9)</t>
    </r>
  </si>
  <si>
    <r>
      <rPr>
        <sz val="12"/>
        <rFont val="Times New Roman"/>
        <family val="1"/>
      </rPr>
      <t>PPL</t>
    </r>
  </si>
  <si>
    <r>
      <rPr>
        <sz val="12"/>
        <rFont val="Times New Roman"/>
        <family val="1"/>
      </rPr>
      <t>CRC2M</t>
    </r>
  </si>
  <si>
    <r>
      <rPr>
        <sz val="12"/>
        <rFont val="Times New Roman"/>
        <family val="1"/>
      </rPr>
      <t>GTA</t>
    </r>
  </si>
  <si>
    <r>
      <rPr>
        <b/>
        <sz val="12"/>
        <rFont val="Times New Roman"/>
        <family val="1"/>
      </rPr>
      <t xml:space="preserve">Incentive Revenue and Other Adjustments (C):
</t>
    </r>
    <r>
      <rPr>
        <b/>
        <sz val="12"/>
        <rFont val="Times New Roman"/>
        <family val="1"/>
      </rPr>
      <t>[C = C1 + C2 + C3 + C4 + C5 + C6 + C7 + C8 + C9]</t>
    </r>
  </si>
  <si>
    <r>
      <rPr>
        <sz val="12"/>
        <rFont val="Times New Roman"/>
        <family val="1"/>
      </rPr>
      <t xml:space="preserve">C = C1 + C2
</t>
    </r>
    <r>
      <rPr>
        <sz val="12"/>
        <rFont val="Times New Roman"/>
        <family val="1"/>
      </rPr>
      <t>+ C3 + C4 + C5 + C6 + C7 + C8 + C9</t>
    </r>
  </si>
  <si>
    <r>
      <rPr>
        <sz val="12"/>
        <rFont val="Times New Roman"/>
        <family val="1"/>
      </rPr>
      <t>Correction Factor (D)</t>
    </r>
  </si>
  <si>
    <r>
      <rPr>
        <sz val="12"/>
        <rFont val="Times New Roman"/>
        <family val="1"/>
      </rPr>
      <t>-K</t>
    </r>
  </si>
  <si>
    <r>
      <rPr>
        <b/>
        <sz val="12"/>
        <rFont val="Times New Roman"/>
        <family val="1"/>
      </rPr>
      <t>Total allowed Revenue (E): [E = A + B + C + D]</t>
    </r>
  </si>
  <si>
    <r>
      <rPr>
        <b/>
        <sz val="12"/>
        <rFont val="Times New Roman"/>
        <family val="1"/>
      </rPr>
      <t>AR</t>
    </r>
  </si>
  <si>
    <r>
      <rPr>
        <sz val="12"/>
        <rFont val="Times New Roman"/>
        <family val="1"/>
      </rPr>
      <t>E = A + B + C + D</t>
    </r>
  </si>
  <si>
    <r>
      <rPr>
        <sz val="12"/>
        <rFont val="Times New Roman"/>
        <family val="1"/>
      </rPr>
      <t>Other 1. Excluded services - Top-up, standby, and enhanced system security (F1) (see note 1)</t>
    </r>
  </si>
  <si>
    <r>
      <rPr>
        <sz val="12"/>
        <rFont val="Times New Roman"/>
        <family val="1"/>
      </rPr>
      <t>DRS4</t>
    </r>
  </si>
  <si>
    <r>
      <rPr>
        <sz val="12"/>
        <rFont val="Times New Roman"/>
        <family val="1"/>
      </rPr>
      <t>CRC5C</t>
    </r>
  </si>
  <si>
    <r>
      <rPr>
        <sz val="12"/>
        <rFont val="Times New Roman"/>
        <family val="1"/>
      </rPr>
      <t>Other 2. Excluded services - Revenue protection services (F2) (see note 1)</t>
    </r>
  </si>
  <si>
    <r>
      <rPr>
        <sz val="12"/>
        <rFont val="Times New Roman"/>
        <family val="1"/>
      </rPr>
      <t>DRS5</t>
    </r>
  </si>
  <si>
    <r>
      <rPr>
        <sz val="12"/>
        <rFont val="Times New Roman"/>
        <family val="1"/>
      </rPr>
      <t>Other 3. Excluded services - Miscellaneous (F3) (see note 1)</t>
    </r>
  </si>
  <si>
    <r>
      <rPr>
        <sz val="12"/>
        <rFont val="Times New Roman"/>
        <family val="1"/>
      </rPr>
      <t>DRS9</t>
    </r>
  </si>
  <si>
    <r>
      <rPr>
        <i/>
        <sz val="12"/>
        <rFont val="Times New Roman"/>
        <family val="1"/>
      </rPr>
      <t>Other 4. blank or if required please provide description (F4)</t>
    </r>
  </si>
  <si>
    <r>
      <rPr>
        <i/>
        <sz val="12"/>
        <rFont val="Times New Roman"/>
        <family val="1"/>
      </rPr>
      <t>Other 5. blank or if required please provide description (F5)</t>
    </r>
  </si>
  <si>
    <r>
      <rPr>
        <b/>
        <sz val="12"/>
        <rFont val="Times New Roman"/>
        <family val="1"/>
      </rPr>
      <t xml:space="preserve">Total other revenue recovered by Use of System Charges (F):
</t>
    </r>
    <r>
      <rPr>
        <b/>
        <sz val="12"/>
        <rFont val="Times New Roman"/>
        <family val="1"/>
      </rPr>
      <t>[F = F1 + F2 + F3 + F4 + F5]</t>
    </r>
  </si>
  <si>
    <r>
      <rPr>
        <sz val="12"/>
        <rFont val="Times New Roman"/>
        <family val="1"/>
      </rPr>
      <t xml:space="preserve">F = F1 + F2
</t>
    </r>
    <r>
      <rPr>
        <sz val="12"/>
        <rFont val="Times New Roman"/>
        <family val="1"/>
      </rPr>
      <t>+ F3 + F4 + F5</t>
    </r>
  </si>
  <si>
    <r>
      <rPr>
        <b/>
        <sz val="12"/>
        <rFont val="Times New Roman"/>
        <family val="1"/>
      </rPr>
      <t xml:space="preserve">Total Revenue for Use of System Charges (G):
</t>
    </r>
    <r>
      <rPr>
        <b/>
        <sz val="12"/>
        <rFont val="Times New Roman"/>
        <family val="1"/>
      </rPr>
      <t>[G = E + F]</t>
    </r>
  </si>
  <si>
    <r>
      <rPr>
        <sz val="12"/>
        <rFont val="Times New Roman"/>
        <family val="1"/>
      </rPr>
      <t>G = E + F</t>
    </r>
  </si>
  <si>
    <r>
      <rPr>
        <sz val="12"/>
        <rFont val="Times New Roman"/>
        <family val="1"/>
      </rPr>
      <t>1. Revenue raised outside CDCM - EDCM and Certain Interconnector Revenue (H1)</t>
    </r>
  </si>
  <si>
    <r>
      <rPr>
        <sz val="12"/>
        <rFont val="Times New Roman"/>
        <family val="1"/>
      </rPr>
      <t>2. Revenue raised outside CDCM - Voluntary under-recovery (H2)</t>
    </r>
  </si>
  <si>
    <r>
      <rPr>
        <i/>
        <sz val="12"/>
        <rFont val="Times New Roman"/>
        <family val="1"/>
      </rPr>
      <t>3. Revenue raised outside CDCM - blank or if required please provide description (H3)</t>
    </r>
  </si>
  <si>
    <r>
      <rPr>
        <b/>
        <sz val="12"/>
        <rFont val="Times New Roman"/>
        <family val="1"/>
      </rPr>
      <t xml:space="preserve">Total Revenue to be raised outside the CDCM (H):
</t>
    </r>
    <r>
      <rPr>
        <b/>
        <sz val="12"/>
        <rFont val="Times New Roman"/>
        <family val="1"/>
      </rPr>
      <t>[H = H1 + H2 + H3 + H4]</t>
    </r>
  </si>
  <si>
    <r>
      <rPr>
        <sz val="12"/>
        <rFont val="Times New Roman"/>
        <family val="1"/>
      </rPr>
      <t xml:space="preserve">H = H1 + H2
</t>
    </r>
    <r>
      <rPr>
        <sz val="12"/>
        <rFont val="Times New Roman"/>
        <family val="1"/>
      </rPr>
      <t>+ H3 + H4</t>
    </r>
  </si>
  <si>
    <r>
      <rPr>
        <b/>
        <sz val="12"/>
        <rFont val="Times New Roman"/>
        <family val="1"/>
      </rPr>
      <t xml:space="preserve">Latest forecast of CDCM Revenue (I):
</t>
    </r>
    <r>
      <rPr>
        <b/>
        <sz val="12"/>
        <rFont val="Times New Roman"/>
        <family val="1"/>
      </rPr>
      <t>[I = G - H]</t>
    </r>
  </si>
  <si>
    <r>
      <rPr>
        <sz val="12"/>
        <rFont val="Times New Roman"/>
        <family val="1"/>
      </rPr>
      <t>I = G - H</t>
    </r>
  </si>
  <si>
    <r>
      <rPr>
        <b/>
        <sz val="12"/>
        <rFont val="Times New Roman"/>
        <family val="1"/>
      </rPr>
      <t>CDCM Revenue Used in Charging Model</t>
    </r>
  </si>
  <si>
    <r>
      <rPr>
        <sz val="12"/>
        <rFont val="Times New Roman"/>
        <family val="1"/>
      </rPr>
      <t>Final Collected Revenue Forecast (J)</t>
    </r>
  </si>
  <si>
    <r>
      <rPr>
        <sz val="12"/>
        <rFont val="Times New Roman"/>
        <family val="1"/>
      </rPr>
      <t>Forecast Over / (Under) Recovery [being (J - F - E + H2)]</t>
    </r>
  </si>
  <si>
    <r>
      <rPr>
        <sz val="12"/>
        <rFont val="Times New Roman"/>
        <family val="1"/>
      </rPr>
      <t>J - F - E + H2</t>
    </r>
  </si>
  <si>
    <r>
      <rPr>
        <sz val="12"/>
        <rFont val="Times New Roman"/>
        <family val="1"/>
      </rPr>
      <t>Forecast overall percentage change to Allowed Revenue (K)</t>
    </r>
  </si>
  <si>
    <r>
      <rPr>
        <sz val="12"/>
        <rFont val="Times New Roman"/>
        <family val="1"/>
      </rPr>
      <t>Overall % change to Use of System Charges effective 1st April of Regulatory Year to balance (L)</t>
    </r>
  </si>
  <si>
    <r>
      <rPr>
        <sz val="12"/>
        <rFont val="Times New Roman"/>
        <family val="1"/>
      </rPr>
      <t>Note 1: Cost categories associated with excluded services should only be populated if the Company recovers the costs of providing these services from Use of System Charges</t>
    </r>
  </si>
  <si>
    <t>Pass-Through Transmission Connection Point Charges (B3)</t>
  </si>
  <si>
    <t>Company Name:</t>
  </si>
  <si>
    <t>Date:</t>
  </si>
  <si>
    <r>
      <rPr>
        <b/>
        <sz val="12"/>
        <rFont val="Times New Roman"/>
        <family val="1"/>
      </rPr>
      <t>Title:                                                   DCUSA Schedule 15 - Table 2 information</t>
    </r>
  </si>
  <si>
    <r>
      <rPr>
        <b/>
        <sz val="12"/>
        <rFont val="Times New Roman"/>
        <family val="1"/>
      </rPr>
      <t>Title:                                                                    DCUSA Schedule 15 - Table 3</t>
    </r>
  </si>
  <si>
    <r>
      <rPr>
        <b/>
        <sz val="12"/>
        <rFont val="Times New Roman"/>
        <family val="1"/>
      </rPr>
      <t>information</t>
    </r>
  </si>
  <si>
    <r>
      <rPr>
        <sz val="12"/>
        <rFont val="Times New Roman"/>
        <family val="1"/>
      </rPr>
      <t>PLEASE NOTE THAT THESE ARE ILLUSTRATIVE TARIFFS ONLY AND ARE NOT TO BE CONSIDERED TO REPRESENT THE</t>
    </r>
  </si>
  <si>
    <r>
      <rPr>
        <sz val="12"/>
        <rFont val="Times New Roman"/>
        <family val="1"/>
      </rPr>
      <t>FINAL TARIFFS WHICH WILL BE APPLIED BY THIS COMPANY</t>
    </r>
  </si>
  <si>
    <r>
      <rPr>
        <b/>
        <sz val="12"/>
        <rFont val="Times New Roman"/>
        <family val="1"/>
      </rPr>
      <t>PCs</t>
    </r>
  </si>
  <si>
    <r>
      <rPr>
        <b/>
        <sz val="12"/>
        <rFont val="Times New Roman"/>
        <family val="1"/>
      </rPr>
      <t>Unit rate 1 p/kWh</t>
    </r>
  </si>
  <si>
    <r>
      <rPr>
        <b/>
        <sz val="12"/>
        <rFont val="Times New Roman"/>
        <family val="1"/>
      </rPr>
      <t>Unit rate 2 p/kWh</t>
    </r>
  </si>
  <si>
    <r>
      <rPr>
        <b/>
        <sz val="12"/>
        <rFont val="Times New Roman"/>
        <family val="1"/>
      </rPr>
      <t>Unit rate 3 p/kWh</t>
    </r>
  </si>
  <si>
    <r>
      <rPr>
        <b/>
        <sz val="12"/>
        <rFont val="Times New Roman"/>
        <family val="1"/>
      </rPr>
      <t>Fixed charge p/MPAN/day</t>
    </r>
  </si>
  <si>
    <r>
      <rPr>
        <b/>
        <sz val="12"/>
        <rFont val="Times New Roman"/>
        <family val="1"/>
      </rPr>
      <t>Capacity charge p/kVA/day</t>
    </r>
  </si>
  <si>
    <r>
      <rPr>
        <b/>
        <sz val="12"/>
        <rFont val="Times New Roman"/>
        <family val="1"/>
      </rPr>
      <t>Reactive power charge p/kVArh</t>
    </r>
  </si>
  <si>
    <t>Illustrative Charging Year:</t>
  </si>
  <si>
    <t>4. Revenue raised outside CDCM - DUoS rebate (H4)</t>
  </si>
  <si>
    <t>Significant others (NIA)</t>
  </si>
  <si>
    <t>Zero forecast</t>
  </si>
  <si>
    <t>Ofgem Direction.</t>
  </si>
  <si>
    <t>2021/22</t>
  </si>
  <si>
    <t>2022/23</t>
  </si>
  <si>
    <t>Exceeded capacity charge p/kVA/day</t>
  </si>
  <si>
    <t>WPD East Midlands</t>
  </si>
  <si>
    <t>Description</t>
  </si>
  <si>
    <t>Regulatory Year</t>
  </si>
  <si>
    <t>Regulatory Year t</t>
  </si>
  <si>
    <t>Regulatory Year t+1</t>
  </si>
  <si>
    <t>Regulatory Year t+2</t>
  </si>
  <si>
    <t>£m</t>
  </si>
  <si>
    <t>Low</t>
  </si>
  <si>
    <t>Central</t>
  </si>
  <si>
    <t>High</t>
  </si>
  <si>
    <t>Under/over recovery</t>
  </si>
  <si>
    <t>RPI True-up</t>
  </si>
  <si>
    <t>Annual Iteration</t>
  </si>
  <si>
    <t>Broad Measure of Customer Service</t>
  </si>
  <si>
    <t>Quality of Service</t>
  </si>
  <si>
    <t>Incentive on Connections Engagement</t>
  </si>
  <si>
    <t>Time to Connect</t>
  </si>
  <si>
    <t>Low Carbon Network Fund</t>
  </si>
  <si>
    <t>Final Collected Revenue Forecast</t>
  </si>
  <si>
    <t>2023/24</t>
  </si>
  <si>
    <t>t+1</t>
  </si>
  <si>
    <t>Pass-through Supplier of Last Resort Adjustment (B7)</t>
  </si>
  <si>
    <t>SLR</t>
  </si>
  <si>
    <t>Pass-through Eligible Bad Debt Adjustment (B8)</t>
  </si>
  <si>
    <t>EBD</t>
  </si>
  <si>
    <t>Pass-Through Others (B9)</t>
  </si>
  <si>
    <t>Allowed Pass-Through Items (B): [B = B1 + B2 + B3 + B4 + B5 + B6 + B7 + B8 + B9]</t>
  </si>
  <si>
    <t>EMEB</t>
  </si>
  <si>
    <t>Total Allowed Revenue</t>
  </si>
  <si>
    <t>t+4</t>
  </si>
  <si>
    <t>2024/25</t>
  </si>
  <si>
    <t>SOLR Claims</t>
  </si>
  <si>
    <t>Co-op Claim Residual</t>
  </si>
  <si>
    <t>Total amount raised through prices in 2018/19</t>
  </si>
  <si>
    <t>Amount Paid 2018/19</t>
  </si>
  <si>
    <t>Diff</t>
  </si>
  <si>
    <t>MIDE</t>
  </si>
  <si>
    <t>SWAE</t>
  </si>
  <si>
    <t>SWEB</t>
  </si>
  <si>
    <t>Octopus Energy Claim Residual</t>
  </si>
  <si>
    <t>Total amount raised through prices in 2019/20</t>
  </si>
  <si>
    <t>Amount Paid 2019/20</t>
  </si>
  <si>
    <t>Together Energy</t>
  </si>
  <si>
    <t>Amount Paid 2020/21</t>
  </si>
  <si>
    <t>Shell Energy</t>
  </si>
  <si>
    <t>OVO-Brilliant</t>
  </si>
  <si>
    <t>Ovo</t>
  </si>
  <si>
    <t>Amount Paid 2021/22</t>
  </si>
  <si>
    <t>Pass-through COVID-19 Bad Debt Adjustment (B9)</t>
  </si>
  <si>
    <t>CBD</t>
  </si>
  <si>
    <t>2025/26</t>
  </si>
  <si>
    <t>EDF</t>
  </si>
  <si>
    <t>SP Extra</t>
  </si>
  <si>
    <t>Amount Paid 2022/23</t>
  </si>
  <si>
    <t>Using the ED1 agreed base revenue in 12/13 prices and the ED2 draft base revenue in 202/21 prices</t>
  </si>
  <si>
    <t>Actual MOD for 2021/22 and forecast after</t>
  </si>
  <si>
    <t>Actual RPI for 2020/21 and forecast after</t>
  </si>
  <si>
    <t>Using HM Treasury report. 23/24 uses 20/21 as a base with a hybrid of RPI and CPI</t>
  </si>
  <si>
    <t>Actuals for 2020/21 and forecast after (2 year lag)</t>
  </si>
  <si>
    <t>Ofgem Direction for 21/22 and zero after.</t>
  </si>
  <si>
    <t>SOLR</t>
  </si>
  <si>
    <t>Pay dates</t>
  </si>
  <si>
    <t>Mar22-Feb23</t>
  </si>
  <si>
    <t>Scot-Toni</t>
  </si>
  <si>
    <t>Scot-Daisy</t>
  </si>
  <si>
    <t>EDF-Zog</t>
  </si>
  <si>
    <t>Utilita-Omni</t>
  </si>
  <si>
    <t>BG-BlueG Zeb</t>
  </si>
  <si>
    <t>BG-NeonR Soci</t>
  </si>
  <si>
    <t>Scot-Entice</t>
  </si>
  <si>
    <t>Yu-AMPower</t>
  </si>
  <si>
    <t>SUBT</t>
  </si>
  <si>
    <t>New Claims Below Threshold</t>
  </si>
  <si>
    <t>New Claims Above Threshold</t>
  </si>
  <si>
    <t>Apr22-Mar23</t>
  </si>
  <si>
    <t>EDF-UtilityP</t>
  </si>
  <si>
    <t>BG-Money PFP</t>
  </si>
  <si>
    <t>BG-Peoples</t>
  </si>
  <si>
    <t>Scot-Orbit</t>
  </si>
  <si>
    <t>Shell-Green</t>
  </si>
  <si>
    <t>Shell-PurePL &amp;c</t>
  </si>
  <si>
    <t>EON-Enstr-Ig-Sym1</t>
  </si>
  <si>
    <t>EON-Enstr-Ig-Sym2</t>
  </si>
  <si>
    <t>Octopus-Avro</t>
  </si>
  <si>
    <t>2026/27</t>
  </si>
  <si>
    <t>BEIS 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</si>
</sst>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£&quot;#,##0;[Red]\-&quot;£&quot;#,##0"/>
    <numFmt numFmtId="43" formatCode="_-* #,##0.00_-;\-* #,##0.00_-;_-* &quot;-&quot;??_-;_-@_-"/>
    <numFmt numFmtId="164" formatCode="###0;###0"/>
    <numFmt numFmtId="165" formatCode="0.0"/>
    <numFmt numFmtId="166" formatCode="0.000"/>
    <numFmt numFmtId="167" formatCode="mmm\ yyyy"/>
    <numFmt numFmtId="168" formatCode="0.00000"/>
    <numFmt numFmtId="169" formatCode="0.000000"/>
    <numFmt numFmtId="170" formatCode="0.0000000"/>
    <numFmt numFmtId="171" formatCode="0.000%"/>
    <numFmt numFmtId="172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59595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166" fontId="0" fillId="0" borderId="0" xfId="0" applyNumberFormat="1"/>
    <xf numFmtId="166" fontId="0" fillId="0" borderId="7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left" vertical="top"/>
    </xf>
    <xf numFmtId="166" fontId="0" fillId="0" borderId="1" xfId="0" applyNumberFormat="1" applyFill="1" applyBorder="1" applyAlignment="1">
      <alignment vertical="top" wrapText="1"/>
    </xf>
    <xf numFmtId="9" fontId="2" fillId="0" borderId="7" xfId="1" applyFont="1" applyFill="1" applyBorder="1" applyAlignment="1">
      <alignment horizontal="center" vertical="center" wrapText="1"/>
    </xf>
    <xf numFmtId="9" fontId="0" fillId="0" borderId="7" xfId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top"/>
    </xf>
    <xf numFmtId="43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8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12" fillId="0" borderId="0" xfId="0" applyFont="1"/>
    <xf numFmtId="169" fontId="1" fillId="2" borderId="7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43" fontId="0" fillId="0" borderId="7" xfId="2" applyFont="1" applyBorder="1"/>
    <xf numFmtId="43" fontId="0" fillId="0" borderId="7" xfId="0" applyNumberFormat="1" applyBorder="1"/>
    <xf numFmtId="4" fontId="0" fillId="0" borderId="7" xfId="0" applyNumberFormat="1" applyBorder="1"/>
    <xf numFmtId="0" fontId="1" fillId="0" borderId="10" xfId="0" applyFont="1" applyFill="1" applyBorder="1" applyAlignment="1">
      <alignment horizontal="center" vertical="top" wrapText="1"/>
    </xf>
    <xf numFmtId="166" fontId="0" fillId="0" borderId="7" xfId="0" applyNumberForma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171" fontId="0" fillId="0" borderId="0" xfId="1" applyNumberFormat="1" applyFont="1"/>
    <xf numFmtId="172" fontId="0" fillId="0" borderId="7" xfId="2" applyNumberFormat="1" applyFont="1" applyBorder="1"/>
    <xf numFmtId="2" fontId="1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vertical="top" wrapText="1"/>
    </xf>
    <xf numFmtId="6" fontId="0" fillId="0" borderId="0" xfId="0" applyNumberFormat="1" applyAlignment="1"/>
    <xf numFmtId="172" fontId="0" fillId="0" borderId="0" xfId="2" applyNumberFormat="1" applyFont="1" applyAlignment="1"/>
    <xf numFmtId="2" fontId="0" fillId="0" borderId="0" xfId="0" applyNumberFormat="1" applyAlignment="1"/>
    <xf numFmtId="0" fontId="2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/riio-ed1_revenue_reporting_pack_v8.0%20EMEB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DCP66A%20Template%20Mid%20East%20Nov%2021%20DCP66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CDCM/CDCM_v7_2022-23_Pre-Release_20201106%20EME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Allowed%20Revenue/SOLR%20Summary%203006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CDCM%20Model/CDCM_v8_20211122_2023_24_Pre-Release%20EMEB%20Aug%202022%20April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May%202022/Allowed%20Revenue/Info%20for%20RevMod%2017112021%20PU%20term%20on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/EMEB%20revenue%20model%20extension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Nov%202021/Tariff%20Rev%20Update%20202324/Allowed%20Income/Info%20for%20RevMod%2016112021%20No%20Mod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1\ChargingModelsfromDCUSA\Broken%20Links\CDCM_v5_2021-22-Pre-Release_20191108%20EM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2\ChargingModelsFromDCUSA\Broken%20Links\CDCM_v7_2022-23_Pre-Release_20201106%20EME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3\Charging%20Models%20From%20DCUSA\Broken%20Links\CDCM_v8_20211122_2023_24_Pre-Release%20EME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vApr22\ChargingModelsFromDCUSA\Broken%20Links\RevARP22%20SOLR%20Price%20Change\CDCM_v7_2022-23_Pre-Release_20201106%20EMEB%20RevAPR22%20SOL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&amp;S/REG/Clause%2035A/Feb%202022/K%20Factor%20Model/EMEB%20K%20Model%20-%202122%20v5%20TarRev23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R1 Schematic"/>
      <sheetName val="R2 Changes Log"/>
      <sheetName val="R3 Data Change Log"/>
      <sheetName val="R4 Licence Condition Values"/>
      <sheetName val="R5a Links"/>
      <sheetName val="R5 Input Page"/>
      <sheetName val="R6 Base Demand Revenue"/>
      <sheetName val="R7 Output Incentives"/>
      <sheetName val="R8 Pass-Through Items"/>
      <sheetName val="R9 NIA"/>
      <sheetName val="R10 Low Carbon Networks Fund"/>
      <sheetName val="R11 Connections Performance"/>
      <sheetName val="R12 DPCR4 Losses and Growth"/>
      <sheetName val="R13 Correction Factor"/>
      <sheetName val="R14 Allowed Revenue Summary"/>
      <sheetName val="Licence Values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N9">
            <v>1.4030390994857123</v>
          </cell>
        </row>
        <row r="47">
          <cell r="M47">
            <v>528.85150836999992</v>
          </cell>
          <cell r="N47">
            <v>627.60327740266723</v>
          </cell>
        </row>
      </sheetData>
      <sheetData sheetId="7">
        <row r="6">
          <cell r="G6">
            <v>386</v>
          </cell>
          <cell r="M6">
            <v>427.6</v>
          </cell>
          <cell r="N6">
            <v>431.9</v>
          </cell>
        </row>
        <row r="7">
          <cell r="M7">
            <v>-17.7</v>
          </cell>
          <cell r="N7">
            <v>-37.92263020416852</v>
          </cell>
        </row>
        <row r="8">
          <cell r="M8">
            <v>-3.7841394984471552</v>
          </cell>
          <cell r="N8">
            <v>-5.2823777100929892</v>
          </cell>
        </row>
        <row r="9">
          <cell r="M9">
            <v>1.238</v>
          </cell>
          <cell r="N9">
            <v>1.321</v>
          </cell>
        </row>
      </sheetData>
      <sheetData sheetId="8">
        <row r="6">
          <cell r="G6">
            <v>3.7392125424749985</v>
          </cell>
          <cell r="M6">
            <v>5.3929280882803718</v>
          </cell>
          <cell r="N6">
            <v>5.45833526106059</v>
          </cell>
        </row>
        <row r="7">
          <cell r="M7">
            <v>22.40602169985376</v>
          </cell>
          <cell r="N7">
            <v>21.210069918730305</v>
          </cell>
        </row>
        <row r="8">
          <cell r="M8">
            <v>0</v>
          </cell>
          <cell r="N8">
            <v>0</v>
          </cell>
        </row>
        <row r="9">
          <cell r="M9">
            <v>1.8847781340777878</v>
          </cell>
          <cell r="N9">
            <v>1.6180787977947133</v>
          </cell>
        </row>
        <row r="10">
          <cell r="M10">
            <v>0</v>
          </cell>
          <cell r="N10">
            <v>0</v>
          </cell>
        </row>
      </sheetData>
      <sheetData sheetId="9">
        <row r="6">
          <cell r="G6">
            <v>0</v>
          </cell>
          <cell r="M6">
            <v>0.53490082526583216</v>
          </cell>
          <cell r="N6">
            <v>0.54517467061825697</v>
          </cell>
        </row>
        <row r="7">
          <cell r="M7">
            <v>-31.74795262376475</v>
          </cell>
          <cell r="N7">
            <v>-35.506181997053545</v>
          </cell>
        </row>
        <row r="8">
          <cell r="M8">
            <v>-3.7281305363909376</v>
          </cell>
          <cell r="N8">
            <v>-4.8889377764891391</v>
          </cell>
        </row>
        <row r="10">
          <cell r="M10">
            <v>1.6816208310292715</v>
          </cell>
          <cell r="N10">
            <v>2.5670422838188749</v>
          </cell>
        </row>
        <row r="11">
          <cell r="M11">
            <v>0.42646300532604459</v>
          </cell>
          <cell r="N11">
            <v>-0.34567650501000025</v>
          </cell>
        </row>
        <row r="12">
          <cell r="M12">
            <v>4.753250955699484E-2</v>
          </cell>
          <cell r="N12">
            <v>5.3687682785493206E-2</v>
          </cell>
        </row>
        <row r="15">
          <cell r="M15">
            <v>-5.6798307740966503E-2</v>
          </cell>
          <cell r="N15">
            <v>88.971026147985143</v>
          </cell>
        </row>
        <row r="16">
          <cell r="M16">
            <v>1.5836069852126782</v>
          </cell>
          <cell r="N16">
            <v>0.44024888046097277</v>
          </cell>
        </row>
        <row r="26">
          <cell r="M26">
            <v>2.6482000000000001</v>
          </cell>
        </row>
        <row r="27">
          <cell r="M27">
            <v>1.2717209904294811</v>
          </cell>
        </row>
        <row r="28">
          <cell r="M28">
            <v>1.3</v>
          </cell>
        </row>
        <row r="36">
          <cell r="M36">
            <v>31.508600000000001</v>
          </cell>
        </row>
        <row r="37">
          <cell r="M37">
            <v>1.2717209904294811</v>
          </cell>
        </row>
        <row r="38">
          <cell r="M38">
            <v>52.9</v>
          </cell>
        </row>
        <row r="46">
          <cell r="M46">
            <v>9.0512999999999995</v>
          </cell>
        </row>
        <row r="47">
          <cell r="M47">
            <v>1.2717209904294811</v>
          </cell>
        </row>
        <row r="48">
          <cell r="M48">
            <v>12.6</v>
          </cell>
        </row>
        <row r="56">
          <cell r="M56">
            <v>2.8382000000000001</v>
          </cell>
        </row>
        <row r="57">
          <cell r="M57">
            <v>1.2717209904294811</v>
          </cell>
        </row>
        <row r="58">
          <cell r="M58">
            <v>0</v>
          </cell>
        </row>
        <row r="66">
          <cell r="M66">
            <v>0.39589999999999997</v>
          </cell>
        </row>
        <row r="67">
          <cell r="M67">
            <v>1.2717209904294811</v>
          </cell>
        </row>
        <row r="68">
          <cell r="M68">
            <v>0</v>
          </cell>
        </row>
        <row r="119">
          <cell r="M119">
            <v>0.99719999999999998</v>
          </cell>
        </row>
        <row r="120">
          <cell r="M120">
            <v>1.2717209904294811</v>
          </cell>
        </row>
        <row r="154">
          <cell r="M154">
            <v>0.17663887980594198</v>
          </cell>
          <cell r="N154">
            <v>5.6271163021376653E-3</v>
          </cell>
        </row>
      </sheetData>
      <sheetData sheetId="10"/>
      <sheetData sheetId="11"/>
      <sheetData sheetId="12"/>
      <sheetData sheetId="13"/>
      <sheetData sheetId="14">
        <row r="11">
          <cell r="J11">
            <v>0.66575342465753418</v>
          </cell>
        </row>
      </sheetData>
      <sheetData sheetId="15">
        <row r="11">
          <cell r="G11">
            <v>0.51183992700000003</v>
          </cell>
          <cell r="M11">
            <v>1.7461530000000003</v>
          </cell>
          <cell r="N11">
            <v>2.2064648039999999</v>
          </cell>
        </row>
        <row r="12">
          <cell r="M12">
            <v>6.1786149999999998E-2</v>
          </cell>
          <cell r="N12">
            <v>-0.29018629000000001</v>
          </cell>
        </row>
        <row r="15">
          <cell r="M15">
            <v>0</v>
          </cell>
          <cell r="N15">
            <v>0</v>
          </cell>
        </row>
        <row r="17">
          <cell r="M17">
            <v>-9.5333295988088729</v>
          </cell>
          <cell r="N17">
            <v>-26.877989297739731</v>
          </cell>
        </row>
        <row r="18">
          <cell r="M18">
            <v>512.71431354024332</v>
          </cell>
          <cell r="N18">
            <v>622.38884683800416</v>
          </cell>
        </row>
      </sheetData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2"/>
      <sheetName val="Table3"/>
      <sheetName val="SOLR"/>
    </sheetNames>
    <sheetDataSet>
      <sheetData sheetId="0">
        <row r="5">
          <cell r="A5" t="str">
            <v>Regulatory Year</v>
          </cell>
        </row>
      </sheetData>
      <sheetData sheetId="1">
        <row r="10">
          <cell r="E10">
            <v>0.7017669485804533</v>
          </cell>
          <cell r="J10">
            <v>24.445183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F16" t="str">
            <v>Domestic Aggregated with Residual</v>
          </cell>
        </row>
        <row r="17">
          <cell r="F17" t="str">
            <v>Domestic Aggregated (Related MPAN)</v>
          </cell>
        </row>
        <row r="18">
          <cell r="F18" t="str">
            <v>Non-Domestic Aggregated No Residual</v>
          </cell>
        </row>
        <row r="19">
          <cell r="F19" t="str">
            <v>Non-Domestic Aggregated Band 1</v>
          </cell>
        </row>
        <row r="20">
          <cell r="F20" t="str">
            <v>Non-Domestic Aggregated Band 2</v>
          </cell>
        </row>
        <row r="21">
          <cell r="F21" t="str">
            <v>Non-Domestic Aggregated Band 3</v>
          </cell>
        </row>
        <row r="22">
          <cell r="F22" t="str">
            <v>Non-Domestic Aggregated Band 4</v>
          </cell>
        </row>
        <row r="23">
          <cell r="F23" t="str">
            <v>Non-Domestic Aggregated (Related MPAN)</v>
          </cell>
        </row>
        <row r="24">
          <cell r="F24" t="str">
            <v>LV Site Specific No Residual</v>
          </cell>
        </row>
        <row r="25">
          <cell r="F25" t="str">
            <v>LV Site Specific Band 1</v>
          </cell>
        </row>
        <row r="26">
          <cell r="F26" t="str">
            <v>LV Site Specific Band 2</v>
          </cell>
        </row>
        <row r="27">
          <cell r="F27" t="str">
            <v>LV Site Specific Band 3</v>
          </cell>
        </row>
        <row r="28">
          <cell r="F28" t="str">
            <v>LV Site Specific Band 4</v>
          </cell>
        </row>
        <row r="29">
          <cell r="F29" t="str">
            <v>LV Sub Site Specific No Residual</v>
          </cell>
        </row>
        <row r="30">
          <cell r="F30" t="str">
            <v>LV Sub Site Specific Band 1</v>
          </cell>
        </row>
        <row r="31">
          <cell r="F31" t="str">
            <v>LV Sub Site Specific Band 2</v>
          </cell>
        </row>
        <row r="32">
          <cell r="F32" t="str">
            <v>LV Sub Site Specific Band 3</v>
          </cell>
        </row>
        <row r="33">
          <cell r="F33" t="str">
            <v>LV Sub Site Specific Band 4</v>
          </cell>
        </row>
        <row r="34">
          <cell r="F34" t="str">
            <v>HV Site Specific No Residual</v>
          </cell>
        </row>
        <row r="35">
          <cell r="F35" t="str">
            <v>HV Site Specific Band 1</v>
          </cell>
        </row>
        <row r="36">
          <cell r="F36" t="str">
            <v>HV Site Specific Band 2</v>
          </cell>
        </row>
        <row r="37">
          <cell r="F37" t="str">
            <v>HV Site Specific Band 3</v>
          </cell>
        </row>
        <row r="38">
          <cell r="F38" t="str">
            <v>HV Site Specific Band 4</v>
          </cell>
        </row>
        <row r="39">
          <cell r="F39" t="str">
            <v>Unmetered Supplies</v>
          </cell>
        </row>
        <row r="40">
          <cell r="F40" t="str">
            <v>LV Generation Aggregated</v>
          </cell>
        </row>
        <row r="41">
          <cell r="F41" t="str">
            <v>LV Sub Generation Aggregated</v>
          </cell>
        </row>
        <row r="42">
          <cell r="F42" t="str">
            <v>LV Generation Site Specific</v>
          </cell>
        </row>
        <row r="43">
          <cell r="F43" t="str">
            <v>LV Generation Site Specific no RP Charge</v>
          </cell>
        </row>
        <row r="44">
          <cell r="F44" t="str">
            <v>LV Sub Generation Site Specific</v>
          </cell>
        </row>
        <row r="45">
          <cell r="F45" t="str">
            <v>LV Sub Generation Site Specific no RP Charge</v>
          </cell>
        </row>
        <row r="46">
          <cell r="F46" t="str">
            <v>HV Generation Site Specific</v>
          </cell>
        </row>
        <row r="47">
          <cell r="F47" t="str">
            <v>HV Generation Site Specific no RP Charge</v>
          </cell>
        </row>
      </sheetData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LC47"/>
      <sheetName val="COOP"/>
      <sheetName val="Octopus"/>
      <sheetName val="Together Energy"/>
      <sheetName val="Shell Energy"/>
      <sheetName val="OVO"/>
      <sheetName val="OVO-Brilliant"/>
      <sheetName val="EDF"/>
      <sheetName val="SP Extra"/>
      <sheetName val="Adhoc"/>
      <sheetName val="BSM"/>
    </sheetNames>
    <sheetDataSet>
      <sheetData sheetId="0"/>
      <sheetData sheetId="1"/>
      <sheetData sheetId="2">
        <row r="3">
          <cell r="N3">
            <v>684996.94</v>
          </cell>
        </row>
        <row r="4">
          <cell r="N4">
            <v>643114.76</v>
          </cell>
        </row>
        <row r="5">
          <cell r="N5">
            <v>293753.74</v>
          </cell>
        </row>
        <row r="6">
          <cell r="N6">
            <v>416702.48</v>
          </cell>
        </row>
      </sheetData>
      <sheetData sheetId="3">
        <row r="3">
          <cell r="N3">
            <v>643447.55999999994</v>
          </cell>
        </row>
        <row r="4">
          <cell r="N4">
            <v>603311.4</v>
          </cell>
        </row>
        <row r="5">
          <cell r="N5">
            <v>275434.44</v>
          </cell>
        </row>
        <row r="6">
          <cell r="N6">
            <v>392141.40000000008</v>
          </cell>
        </row>
      </sheetData>
      <sheetData sheetId="4">
        <row r="4">
          <cell r="B4">
            <v>18406.259999999998</v>
          </cell>
          <cell r="C4">
            <v>18406.259999999998</v>
          </cell>
          <cell r="D4">
            <v>18406.259999999998</v>
          </cell>
          <cell r="E4">
            <v>18406.259999999998</v>
          </cell>
          <cell r="F4">
            <v>18406.259999999998</v>
          </cell>
          <cell r="G4">
            <v>18406.259999999998</v>
          </cell>
          <cell r="H4">
            <v>18406.259999999998</v>
          </cell>
          <cell r="I4">
            <v>18406.259999999998</v>
          </cell>
          <cell r="J4">
            <v>18406.259999999998</v>
          </cell>
          <cell r="K4">
            <v>18406.259999999998</v>
          </cell>
          <cell r="L4">
            <v>18406.259999999998</v>
          </cell>
          <cell r="M4">
            <v>18406.259999999998</v>
          </cell>
        </row>
        <row r="5">
          <cell r="B5">
            <v>17248.71</v>
          </cell>
          <cell r="C5">
            <v>17248.71</v>
          </cell>
          <cell r="D5">
            <v>17248.71</v>
          </cell>
          <cell r="E5">
            <v>17248.71</v>
          </cell>
          <cell r="F5">
            <v>17248.71</v>
          </cell>
          <cell r="G5">
            <v>17248.71</v>
          </cell>
          <cell r="H5">
            <v>17248.71</v>
          </cell>
          <cell r="I5">
            <v>17248.71</v>
          </cell>
          <cell r="J5">
            <v>17248.71</v>
          </cell>
          <cell r="K5">
            <v>17248.71</v>
          </cell>
          <cell r="L5">
            <v>17248.71</v>
          </cell>
          <cell r="M5">
            <v>17248.71</v>
          </cell>
        </row>
        <row r="6">
          <cell r="B6">
            <v>7878.01</v>
          </cell>
          <cell r="C6">
            <v>7878.01</v>
          </cell>
          <cell r="D6">
            <v>7878.01</v>
          </cell>
          <cell r="E6">
            <v>7878.01</v>
          </cell>
          <cell r="F6">
            <v>7878.01</v>
          </cell>
          <cell r="G6">
            <v>7878.01</v>
          </cell>
          <cell r="H6">
            <v>7878.01</v>
          </cell>
          <cell r="I6">
            <v>7878.01</v>
          </cell>
          <cell r="J6">
            <v>7878.01</v>
          </cell>
          <cell r="K6">
            <v>7878.01</v>
          </cell>
          <cell r="L6">
            <v>7878.01</v>
          </cell>
          <cell r="M6">
            <v>7878.01</v>
          </cell>
        </row>
        <row r="7">
          <cell r="B7">
            <v>11245.19</v>
          </cell>
          <cell r="C7">
            <v>11245.19</v>
          </cell>
          <cell r="D7">
            <v>11245.19</v>
          </cell>
          <cell r="E7">
            <v>11245.19</v>
          </cell>
          <cell r="F7">
            <v>11245.19</v>
          </cell>
          <cell r="G7">
            <v>11245.19</v>
          </cell>
          <cell r="H7">
            <v>11245.19</v>
          </cell>
          <cell r="I7">
            <v>11245.19</v>
          </cell>
          <cell r="J7">
            <v>11245.19</v>
          </cell>
          <cell r="K7">
            <v>11245.19</v>
          </cell>
          <cell r="L7">
            <v>11245.19</v>
          </cell>
          <cell r="M7">
            <v>11245.19</v>
          </cell>
        </row>
      </sheetData>
      <sheetData sheetId="5">
        <row r="4">
          <cell r="B4">
            <v>17329.580000000002</v>
          </cell>
        </row>
        <row r="5">
          <cell r="B5">
            <v>16239.73</v>
          </cell>
        </row>
        <row r="6">
          <cell r="B6">
            <v>7417.18</v>
          </cell>
        </row>
        <row r="7">
          <cell r="B7">
            <v>10587.4</v>
          </cell>
        </row>
      </sheetData>
      <sheetData sheetId="6">
        <row r="4">
          <cell r="B4">
            <v>50451.53</v>
          </cell>
          <cell r="C4">
            <v>50451.53</v>
          </cell>
          <cell r="D4">
            <v>50451.53</v>
          </cell>
          <cell r="E4">
            <v>50451.53</v>
          </cell>
          <cell r="F4">
            <v>50451.53</v>
          </cell>
          <cell r="G4">
            <v>50451.53</v>
          </cell>
          <cell r="H4">
            <v>50451.53</v>
          </cell>
          <cell r="I4">
            <v>50451.53</v>
          </cell>
          <cell r="J4">
            <v>50451.53</v>
          </cell>
          <cell r="K4">
            <v>50451.53</v>
          </cell>
          <cell r="L4">
            <v>50451.53</v>
          </cell>
          <cell r="M4">
            <v>50451.53</v>
          </cell>
        </row>
        <row r="5">
          <cell r="B5">
            <v>47278.67</v>
          </cell>
          <cell r="C5">
            <v>47278.67</v>
          </cell>
          <cell r="D5">
            <v>47278.67</v>
          </cell>
          <cell r="E5">
            <v>47278.67</v>
          </cell>
          <cell r="F5">
            <v>47278.67</v>
          </cell>
          <cell r="G5">
            <v>47278.67</v>
          </cell>
          <cell r="H5">
            <v>47278.67</v>
          </cell>
          <cell r="I5">
            <v>47278.67</v>
          </cell>
          <cell r="J5">
            <v>47278.67</v>
          </cell>
          <cell r="K5">
            <v>47278.67</v>
          </cell>
          <cell r="L5">
            <v>47278.67</v>
          </cell>
          <cell r="M5">
            <v>47278.67</v>
          </cell>
        </row>
        <row r="6">
          <cell r="B6">
            <v>21593.599999999999</v>
          </cell>
          <cell r="C6">
            <v>21593.599999999999</v>
          </cell>
          <cell r="D6">
            <v>21593.599999999999</v>
          </cell>
          <cell r="E6">
            <v>21593.599999999999</v>
          </cell>
          <cell r="F6">
            <v>21593.599999999999</v>
          </cell>
          <cell r="G6">
            <v>21593.599999999999</v>
          </cell>
          <cell r="H6">
            <v>21593.599999999999</v>
          </cell>
          <cell r="I6">
            <v>21593.599999999999</v>
          </cell>
          <cell r="J6">
            <v>21593.599999999999</v>
          </cell>
          <cell r="K6">
            <v>21593.599999999999</v>
          </cell>
          <cell r="L6">
            <v>21593.599999999999</v>
          </cell>
          <cell r="M6">
            <v>21593.599999999999</v>
          </cell>
        </row>
        <row r="7">
          <cell r="B7">
            <v>30823.05</v>
          </cell>
          <cell r="C7">
            <v>30823.05</v>
          </cell>
          <cell r="D7">
            <v>30823.05</v>
          </cell>
          <cell r="E7">
            <v>30823.05</v>
          </cell>
          <cell r="F7">
            <v>30823.05</v>
          </cell>
          <cell r="G7">
            <v>30823.05</v>
          </cell>
          <cell r="H7">
            <v>30823.05</v>
          </cell>
          <cell r="I7">
            <v>30823.05</v>
          </cell>
          <cell r="J7">
            <v>30823.05</v>
          </cell>
          <cell r="K7">
            <v>30823.05</v>
          </cell>
          <cell r="L7">
            <v>30823.05</v>
          </cell>
          <cell r="M7">
            <v>30823.05</v>
          </cell>
        </row>
      </sheetData>
      <sheetData sheetId="7">
        <row r="4">
          <cell r="B4">
            <v>30372.51</v>
          </cell>
        </row>
        <row r="5">
          <cell r="B5">
            <v>28467.13</v>
          </cell>
        </row>
        <row r="6">
          <cell r="B6">
            <v>13020.77</v>
          </cell>
        </row>
        <row r="7">
          <cell r="B7">
            <v>18561.38</v>
          </cell>
        </row>
      </sheetData>
      <sheetData sheetId="8">
        <row r="4">
          <cell r="B4"/>
          <cell r="E4"/>
          <cell r="F4">
            <v>51291.519999999997</v>
          </cell>
          <cell r="G4"/>
          <cell r="H4"/>
          <cell r="I4">
            <v>51291.519999999997</v>
          </cell>
          <cell r="J4"/>
          <cell r="K4"/>
          <cell r="L4">
            <v>51291.519999999997</v>
          </cell>
          <cell r="M4"/>
          <cell r="O4">
            <v>51291.519999999997</v>
          </cell>
        </row>
        <row r="5">
          <cell r="B5"/>
          <cell r="E5"/>
          <cell r="F5">
            <v>48073.8</v>
          </cell>
          <cell r="G5"/>
          <cell r="H5"/>
          <cell r="I5">
            <v>48073.8</v>
          </cell>
          <cell r="J5"/>
          <cell r="K5"/>
          <cell r="L5">
            <v>48073.8</v>
          </cell>
          <cell r="M5"/>
          <cell r="O5">
            <v>48073.8</v>
          </cell>
        </row>
        <row r="6">
          <cell r="B6"/>
          <cell r="E6"/>
          <cell r="F6">
            <v>21988.794999999998</v>
          </cell>
          <cell r="G6"/>
          <cell r="H6"/>
          <cell r="I6">
            <v>21988.794999999998</v>
          </cell>
          <cell r="J6"/>
          <cell r="K6"/>
          <cell r="L6">
            <v>21988.794999999998</v>
          </cell>
          <cell r="M6"/>
          <cell r="O6">
            <v>21988.794999999998</v>
          </cell>
        </row>
        <row r="7">
          <cell r="B7"/>
          <cell r="E7"/>
          <cell r="F7">
            <v>31345.49</v>
          </cell>
          <cell r="G7"/>
          <cell r="H7"/>
          <cell r="I7">
            <v>31345.49</v>
          </cell>
          <cell r="J7"/>
          <cell r="K7"/>
          <cell r="L7">
            <v>31345.49</v>
          </cell>
          <cell r="M7"/>
          <cell r="O7">
            <v>31345.49</v>
          </cell>
        </row>
      </sheetData>
      <sheetData sheetId="9">
        <row r="4">
          <cell r="B4">
            <v>43064.445833333331</v>
          </cell>
          <cell r="C4">
            <v>43064.445833333331</v>
          </cell>
          <cell r="D4">
            <v>43064.445833333331</v>
          </cell>
          <cell r="E4">
            <v>43064.445833333331</v>
          </cell>
          <cell r="F4">
            <v>43064.445833333331</v>
          </cell>
          <cell r="G4">
            <v>43064.445833333331</v>
          </cell>
          <cell r="H4">
            <v>43064.445833333331</v>
          </cell>
          <cell r="I4">
            <v>43064.445833333331</v>
          </cell>
          <cell r="J4">
            <v>43064.445833333331</v>
          </cell>
          <cell r="K4">
            <v>43064.445833333331</v>
          </cell>
          <cell r="L4">
            <v>43064.445833333331</v>
          </cell>
          <cell r="M4">
            <v>43064.445833333331</v>
          </cell>
        </row>
        <row r="5">
          <cell r="B5">
            <v>40362.842499999999</v>
          </cell>
          <cell r="C5">
            <v>40362.842499999999</v>
          </cell>
          <cell r="D5">
            <v>40362.842499999999</v>
          </cell>
          <cell r="E5">
            <v>40362.842499999999</v>
          </cell>
          <cell r="F5">
            <v>40362.842499999999</v>
          </cell>
          <cell r="G5">
            <v>40362.842499999999</v>
          </cell>
          <cell r="H5">
            <v>40362.842499999999</v>
          </cell>
          <cell r="I5">
            <v>40362.842499999999</v>
          </cell>
          <cell r="J5">
            <v>40362.842499999999</v>
          </cell>
          <cell r="K5">
            <v>40362.842499999999</v>
          </cell>
          <cell r="L5">
            <v>40362.842499999999</v>
          </cell>
          <cell r="M5">
            <v>40362.842499999999</v>
          </cell>
        </row>
        <row r="6">
          <cell r="B6">
            <v>18461.829166666666</v>
          </cell>
          <cell r="C6">
            <v>18461.829166666666</v>
          </cell>
          <cell r="D6">
            <v>18461.829166666666</v>
          </cell>
          <cell r="E6">
            <v>18461.829166666666</v>
          </cell>
          <cell r="F6">
            <v>18461.829166666666</v>
          </cell>
          <cell r="G6">
            <v>18461.829166666666</v>
          </cell>
          <cell r="H6">
            <v>18461.829166666666</v>
          </cell>
          <cell r="I6">
            <v>18461.829166666666</v>
          </cell>
          <cell r="J6">
            <v>18461.829166666666</v>
          </cell>
          <cell r="K6">
            <v>18461.829166666666</v>
          </cell>
          <cell r="L6">
            <v>18461.829166666666</v>
          </cell>
          <cell r="M6">
            <v>18461.829166666666</v>
          </cell>
        </row>
        <row r="7">
          <cell r="B7">
            <v>26317.725000000002</v>
          </cell>
          <cell r="C7">
            <v>26317.725000000002</v>
          </cell>
          <cell r="D7">
            <v>26317.725000000002</v>
          </cell>
          <cell r="E7">
            <v>26317.725000000002</v>
          </cell>
          <cell r="F7">
            <v>26317.725000000002</v>
          </cell>
          <cell r="G7">
            <v>26317.725000000002</v>
          </cell>
          <cell r="H7">
            <v>26317.725000000002</v>
          </cell>
          <cell r="I7">
            <v>26317.725000000002</v>
          </cell>
          <cell r="J7">
            <v>26317.725000000002</v>
          </cell>
          <cell r="K7">
            <v>26317.725000000002</v>
          </cell>
          <cell r="L7">
            <v>26317.725000000002</v>
          </cell>
          <cell r="M7">
            <v>26317.725000000002</v>
          </cell>
        </row>
      </sheetData>
      <sheetData sheetId="10">
        <row r="22">
          <cell r="E22">
            <v>58666.896000000001</v>
          </cell>
          <cell r="F22">
            <v>60648.176800000001</v>
          </cell>
          <cell r="G22">
            <v>58696.968000000001</v>
          </cell>
          <cell r="H22">
            <v>60666.752000000008</v>
          </cell>
          <cell r="I22">
            <v>60688.650399999999</v>
          </cell>
          <cell r="J22">
            <v>58749.792000000001</v>
          </cell>
          <cell r="K22">
            <v>60731.976000000002</v>
          </cell>
          <cell r="L22">
            <v>58797.792000000001</v>
          </cell>
          <cell r="M22">
            <v>60779.170400000003</v>
          </cell>
          <cell r="N22">
            <v>60788.420800000007</v>
          </cell>
          <cell r="O22">
            <v>54929.414400000001</v>
          </cell>
          <cell r="P22">
            <v>60833.060799999999</v>
          </cell>
          <cell r="Q22">
            <v>58885.128000000004</v>
          </cell>
          <cell r="R22">
            <v>60867.904800000004</v>
          </cell>
          <cell r="S22">
            <v>58923.624000000003</v>
          </cell>
          <cell r="T22">
            <v>60909.395200000006</v>
          </cell>
          <cell r="U22">
            <v>60928.664800000006</v>
          </cell>
          <cell r="V22">
            <v>58984.968000000001</v>
          </cell>
          <cell r="W22">
            <v>60972.982400000001</v>
          </cell>
          <cell r="X22">
            <v>59028.36</v>
          </cell>
          <cell r="Y22">
            <v>61018.961600000002</v>
          </cell>
          <cell r="Z22">
            <v>61033.643200000006</v>
          </cell>
          <cell r="AA22">
            <v>57115.616000000002</v>
          </cell>
          <cell r="AB22">
            <v>61073.695200000002</v>
          </cell>
        </row>
        <row r="23">
          <cell r="E23">
            <v>54709.440000000002</v>
          </cell>
          <cell r="F23">
            <v>56554.143200000006</v>
          </cell>
          <cell r="G23">
            <v>54733.464000000007</v>
          </cell>
          <cell r="H23">
            <v>56571.875200000002</v>
          </cell>
          <cell r="I23">
            <v>56591.864000000001</v>
          </cell>
          <cell r="J23">
            <v>54782.904000000002</v>
          </cell>
          <cell r="K23">
            <v>56628.865600000005</v>
          </cell>
          <cell r="L23">
            <v>54821.880000000005</v>
          </cell>
          <cell r="M23">
            <v>56669.512800000004</v>
          </cell>
          <cell r="N23">
            <v>56675.415200000003</v>
          </cell>
          <cell r="O23">
            <v>51207.072</v>
          </cell>
          <cell r="P23">
            <v>56710.879200000003</v>
          </cell>
          <cell r="Q23">
            <v>54902.352000000006</v>
          </cell>
          <cell r="R23">
            <v>56751.749600000003</v>
          </cell>
          <cell r="S23">
            <v>54941.184000000001</v>
          </cell>
          <cell r="T23">
            <v>56794.306400000009</v>
          </cell>
          <cell r="U23">
            <v>56813.352800000001</v>
          </cell>
          <cell r="V23">
            <v>54995.688000000002</v>
          </cell>
          <cell r="W23">
            <v>56849.114399999999</v>
          </cell>
          <cell r="X23">
            <v>55034.807999999997</v>
          </cell>
          <cell r="Y23">
            <v>56887.777600000001</v>
          </cell>
          <cell r="Z23">
            <v>56899.756000000001</v>
          </cell>
          <cell r="AA23">
            <v>53243.257600000004</v>
          </cell>
          <cell r="AB23">
            <v>56930.706400000003</v>
          </cell>
        </row>
        <row r="24">
          <cell r="E24">
            <v>24988.704000000002</v>
          </cell>
          <cell r="F24">
            <v>25832.225599999998</v>
          </cell>
          <cell r="G24">
            <v>25000.920000000002</v>
          </cell>
          <cell r="H24">
            <v>25842.0216</v>
          </cell>
          <cell r="I24">
            <v>25851.0488</v>
          </cell>
          <cell r="J24">
            <v>25027.200000000001</v>
          </cell>
          <cell r="K24">
            <v>25870.690399999999</v>
          </cell>
          <cell r="L24">
            <v>25046.207999999999</v>
          </cell>
          <cell r="M24">
            <v>25891.993599999998</v>
          </cell>
          <cell r="N24">
            <v>25899.805600000003</v>
          </cell>
          <cell r="O24">
            <v>23403.676800000001</v>
          </cell>
          <cell r="P24">
            <v>25919.7448</v>
          </cell>
          <cell r="Q24">
            <v>25088.088000000003</v>
          </cell>
          <cell r="R24">
            <v>25932.7896</v>
          </cell>
          <cell r="S24">
            <v>25104.120000000003</v>
          </cell>
          <cell r="T24">
            <v>25949.232</v>
          </cell>
          <cell r="U24">
            <v>25957.54</v>
          </cell>
          <cell r="V24">
            <v>25130.520000000004</v>
          </cell>
          <cell r="W24">
            <v>25978.719200000003</v>
          </cell>
          <cell r="X24">
            <v>25150.32</v>
          </cell>
          <cell r="Y24">
            <v>26001.932000000001</v>
          </cell>
          <cell r="Z24">
            <v>26010.0664</v>
          </cell>
          <cell r="AA24">
            <v>24340.558400000002</v>
          </cell>
          <cell r="AB24">
            <v>26027.0792</v>
          </cell>
        </row>
        <row r="25">
          <cell r="E25">
            <v>34919.375999999997</v>
          </cell>
          <cell r="F25">
            <v>36101.905600000006</v>
          </cell>
          <cell r="G25">
            <v>34937.856</v>
          </cell>
          <cell r="H25">
            <v>36112.148000000001</v>
          </cell>
          <cell r="I25">
            <v>36129.458400000003</v>
          </cell>
          <cell r="J25">
            <v>34979.664000000004</v>
          </cell>
          <cell r="K25">
            <v>36164.153600000005</v>
          </cell>
          <cell r="L25">
            <v>35022.624000000003</v>
          </cell>
          <cell r="M25">
            <v>36208</v>
          </cell>
          <cell r="N25">
            <v>36217.597600000001</v>
          </cell>
          <cell r="O25">
            <v>32728.864000000005</v>
          </cell>
          <cell r="P25">
            <v>36253.408799999997</v>
          </cell>
          <cell r="Q25">
            <v>35102.831999999995</v>
          </cell>
          <cell r="R25">
            <v>36290.410400000001</v>
          </cell>
          <cell r="S25">
            <v>35138.591999999997</v>
          </cell>
          <cell r="T25">
            <v>36329.4208</v>
          </cell>
          <cell r="U25">
            <v>36348.144800000002</v>
          </cell>
          <cell r="V25">
            <v>35192.663999999997</v>
          </cell>
          <cell r="W25">
            <v>36388.196800000005</v>
          </cell>
          <cell r="X25">
            <v>35234.639999999999</v>
          </cell>
          <cell r="Y25">
            <v>36429.6872</v>
          </cell>
          <cell r="Z25">
            <v>36442.459200000005</v>
          </cell>
          <cell r="AA25">
            <v>34106.459200000005</v>
          </cell>
          <cell r="AB25">
            <v>36473.112000000001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J16">
            <v>7.2359999999999998</v>
          </cell>
          <cell r="K16">
            <v>1.6339999999999999</v>
          </cell>
          <cell r="L16">
            <v>0.13800000000000001</v>
          </cell>
          <cell r="M16">
            <v>15.61</v>
          </cell>
          <cell r="N16">
            <v>0</v>
          </cell>
          <cell r="O16">
            <v>0</v>
          </cell>
          <cell r="P16">
            <v>0</v>
          </cell>
        </row>
        <row r="17">
          <cell r="J17">
            <v>7.2359999999999998</v>
          </cell>
          <cell r="K17">
            <v>1.6339999999999999</v>
          </cell>
          <cell r="L17">
            <v>0.13800000000000001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J18">
            <v>6.6150000000000002</v>
          </cell>
          <cell r="K18">
            <v>1.494</v>
          </cell>
          <cell r="L18">
            <v>0.126</v>
          </cell>
          <cell r="M18">
            <v>9.61</v>
          </cell>
          <cell r="N18">
            <v>0</v>
          </cell>
          <cell r="O18">
            <v>0</v>
          </cell>
          <cell r="P18">
            <v>0</v>
          </cell>
        </row>
        <row r="19">
          <cell r="J19">
            <v>6.6150000000000002</v>
          </cell>
          <cell r="K19">
            <v>1.494</v>
          </cell>
          <cell r="L19">
            <v>0.126</v>
          </cell>
          <cell r="M19">
            <v>14.3</v>
          </cell>
          <cell r="N19">
            <v>0</v>
          </cell>
          <cell r="O19">
            <v>0</v>
          </cell>
          <cell r="P19">
            <v>0</v>
          </cell>
        </row>
        <row r="20">
          <cell r="J20">
            <v>6.6150000000000002</v>
          </cell>
          <cell r="K20">
            <v>1.494</v>
          </cell>
          <cell r="L20">
            <v>0.126</v>
          </cell>
          <cell r="M20">
            <v>31.85</v>
          </cell>
          <cell r="N20">
            <v>0</v>
          </cell>
          <cell r="O20">
            <v>0</v>
          </cell>
          <cell r="P20">
            <v>0</v>
          </cell>
        </row>
        <row r="21">
          <cell r="J21">
            <v>6.6150000000000002</v>
          </cell>
          <cell r="K21">
            <v>1.494</v>
          </cell>
          <cell r="L21">
            <v>0.126</v>
          </cell>
          <cell r="M21">
            <v>64.38</v>
          </cell>
          <cell r="N21">
            <v>0</v>
          </cell>
          <cell r="O21">
            <v>0</v>
          </cell>
          <cell r="P21">
            <v>0</v>
          </cell>
        </row>
        <row r="22">
          <cell r="J22">
            <v>6.6150000000000002</v>
          </cell>
          <cell r="K22">
            <v>1.494</v>
          </cell>
          <cell r="L22">
            <v>0.126</v>
          </cell>
          <cell r="M22">
            <v>183.92</v>
          </cell>
          <cell r="N22">
            <v>0</v>
          </cell>
          <cell r="O22">
            <v>0</v>
          </cell>
          <cell r="P22">
            <v>0</v>
          </cell>
        </row>
        <row r="23">
          <cell r="J23">
            <v>6.6150000000000002</v>
          </cell>
          <cell r="K23">
            <v>1.494</v>
          </cell>
          <cell r="L23">
            <v>0.126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J24">
            <v>4.9779999999999998</v>
          </cell>
          <cell r="K24">
            <v>1.0900000000000001</v>
          </cell>
          <cell r="L24">
            <v>9.0999999999999998E-2</v>
          </cell>
          <cell r="M24">
            <v>14.39</v>
          </cell>
          <cell r="N24">
            <v>3.53</v>
          </cell>
          <cell r="O24">
            <v>6.79</v>
          </cell>
          <cell r="P24">
            <v>0.16900000000000001</v>
          </cell>
        </row>
        <row r="25">
          <cell r="J25">
            <v>4.9779999999999998</v>
          </cell>
          <cell r="K25">
            <v>1.0900000000000001</v>
          </cell>
          <cell r="L25">
            <v>9.0999999999999998E-2</v>
          </cell>
          <cell r="M25">
            <v>311.85000000000002</v>
          </cell>
          <cell r="N25">
            <v>3.53</v>
          </cell>
          <cell r="O25">
            <v>6.79</v>
          </cell>
          <cell r="P25">
            <v>0.16900000000000001</v>
          </cell>
        </row>
        <row r="26">
          <cell r="J26">
            <v>4.9779999999999998</v>
          </cell>
          <cell r="K26">
            <v>1.0900000000000001</v>
          </cell>
          <cell r="L26">
            <v>9.0999999999999998E-2</v>
          </cell>
          <cell r="M26">
            <v>538.66999999999996</v>
          </cell>
          <cell r="N26">
            <v>3.53</v>
          </cell>
          <cell r="O26">
            <v>6.79</v>
          </cell>
          <cell r="P26">
            <v>0.16900000000000001</v>
          </cell>
        </row>
        <row r="27">
          <cell r="J27">
            <v>4.9779999999999998</v>
          </cell>
          <cell r="K27">
            <v>1.0900000000000001</v>
          </cell>
          <cell r="L27">
            <v>9.0999999999999998E-2</v>
          </cell>
          <cell r="M27">
            <v>858.97</v>
          </cell>
          <cell r="N27">
            <v>3.53</v>
          </cell>
          <cell r="O27">
            <v>6.79</v>
          </cell>
          <cell r="P27">
            <v>0.16900000000000001</v>
          </cell>
        </row>
        <row r="28">
          <cell r="J28">
            <v>4.9779999999999998</v>
          </cell>
          <cell r="K28">
            <v>1.0900000000000001</v>
          </cell>
          <cell r="L28">
            <v>9.0999999999999998E-2</v>
          </cell>
          <cell r="M28">
            <v>1736.15</v>
          </cell>
          <cell r="N28">
            <v>3.53</v>
          </cell>
          <cell r="O28">
            <v>6.79</v>
          </cell>
          <cell r="P28">
            <v>0.16900000000000001</v>
          </cell>
        </row>
        <row r="29">
          <cell r="J29">
            <v>3.105</v>
          </cell>
          <cell r="K29">
            <v>0.63300000000000001</v>
          </cell>
          <cell r="L29">
            <v>5.2999999999999999E-2</v>
          </cell>
          <cell r="M29">
            <v>11.33</v>
          </cell>
          <cell r="N29">
            <v>4.2300000000000004</v>
          </cell>
          <cell r="O29">
            <v>6.29</v>
          </cell>
          <cell r="P29">
            <v>0.11700000000000001</v>
          </cell>
        </row>
        <row r="30">
          <cell r="J30">
            <v>3.105</v>
          </cell>
          <cell r="K30">
            <v>0.63300000000000001</v>
          </cell>
          <cell r="L30">
            <v>5.2999999999999999E-2</v>
          </cell>
          <cell r="M30">
            <v>308.79000000000002</v>
          </cell>
          <cell r="N30">
            <v>4.2300000000000004</v>
          </cell>
          <cell r="O30">
            <v>6.29</v>
          </cell>
          <cell r="P30">
            <v>0.11700000000000001</v>
          </cell>
        </row>
        <row r="31">
          <cell r="J31">
            <v>3.105</v>
          </cell>
          <cell r="K31">
            <v>0.63300000000000001</v>
          </cell>
          <cell r="L31">
            <v>5.2999999999999999E-2</v>
          </cell>
          <cell r="M31">
            <v>535.62</v>
          </cell>
          <cell r="N31">
            <v>4.2300000000000004</v>
          </cell>
          <cell r="O31">
            <v>6.29</v>
          </cell>
          <cell r="P31">
            <v>0.11700000000000001</v>
          </cell>
        </row>
        <row r="32">
          <cell r="J32">
            <v>3.105</v>
          </cell>
          <cell r="K32">
            <v>0.63300000000000001</v>
          </cell>
          <cell r="L32">
            <v>5.2999999999999999E-2</v>
          </cell>
          <cell r="M32">
            <v>855.91</v>
          </cell>
          <cell r="N32">
            <v>4.2300000000000004</v>
          </cell>
          <cell r="O32">
            <v>6.29</v>
          </cell>
          <cell r="P32">
            <v>0.11700000000000001</v>
          </cell>
        </row>
        <row r="33">
          <cell r="J33">
            <v>3.105</v>
          </cell>
          <cell r="K33">
            <v>0.63300000000000001</v>
          </cell>
          <cell r="L33">
            <v>5.2999999999999999E-2</v>
          </cell>
          <cell r="M33">
            <v>1733.09</v>
          </cell>
          <cell r="N33">
            <v>4.2300000000000004</v>
          </cell>
          <cell r="O33">
            <v>6.29</v>
          </cell>
          <cell r="P33">
            <v>0.11700000000000001</v>
          </cell>
        </row>
        <row r="34">
          <cell r="J34">
            <v>1.9319999999999999</v>
          </cell>
          <cell r="K34">
            <v>0.34399999999999997</v>
          </cell>
          <cell r="L34">
            <v>2.8000000000000001E-2</v>
          </cell>
          <cell r="M34">
            <v>100.88</v>
          </cell>
          <cell r="N34">
            <v>5.13</v>
          </cell>
          <cell r="O34">
            <v>7.31</v>
          </cell>
          <cell r="P34">
            <v>5.8999999999999997E-2</v>
          </cell>
        </row>
        <row r="35">
          <cell r="J35">
            <v>1.9319999999999999</v>
          </cell>
          <cell r="K35">
            <v>0.34399999999999997</v>
          </cell>
          <cell r="L35">
            <v>2.8000000000000001E-2</v>
          </cell>
          <cell r="M35">
            <v>1487.36</v>
          </cell>
          <cell r="N35">
            <v>5.13</v>
          </cell>
          <cell r="O35">
            <v>7.31</v>
          </cell>
          <cell r="P35">
            <v>5.8999999999999997E-2</v>
          </cell>
        </row>
        <row r="36">
          <cell r="J36">
            <v>1.9319999999999999</v>
          </cell>
          <cell r="K36">
            <v>0.34399999999999997</v>
          </cell>
          <cell r="L36">
            <v>2.8000000000000001E-2</v>
          </cell>
          <cell r="M36">
            <v>4489.66</v>
          </cell>
          <cell r="N36">
            <v>5.13</v>
          </cell>
          <cell r="O36">
            <v>7.31</v>
          </cell>
          <cell r="P36">
            <v>5.8999999999999997E-2</v>
          </cell>
        </row>
        <row r="37">
          <cell r="J37">
            <v>1.9319999999999999</v>
          </cell>
          <cell r="K37">
            <v>0.34399999999999997</v>
          </cell>
          <cell r="L37">
            <v>2.8000000000000001E-2</v>
          </cell>
          <cell r="M37">
            <v>10213.56</v>
          </cell>
          <cell r="N37">
            <v>5.13</v>
          </cell>
          <cell r="O37">
            <v>7.31</v>
          </cell>
          <cell r="P37">
            <v>5.8999999999999997E-2</v>
          </cell>
        </row>
        <row r="38">
          <cell r="J38">
            <v>1.9319999999999999</v>
          </cell>
          <cell r="K38">
            <v>0.34399999999999997</v>
          </cell>
          <cell r="L38">
            <v>2.8000000000000001E-2</v>
          </cell>
          <cell r="M38">
            <v>27320.01</v>
          </cell>
          <cell r="N38">
            <v>5.13</v>
          </cell>
          <cell r="O38">
            <v>7.31</v>
          </cell>
          <cell r="P38">
            <v>5.8999999999999997E-2</v>
          </cell>
        </row>
        <row r="39">
          <cell r="J39">
            <v>18.943000000000001</v>
          </cell>
          <cell r="K39">
            <v>3.4009999999999998</v>
          </cell>
          <cell r="L39">
            <v>2.1080000000000001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J40">
            <v>-4.3150000000000004</v>
          </cell>
          <cell r="K40">
            <v>-0.97399999999999998</v>
          </cell>
          <cell r="L40">
            <v>-8.2000000000000003E-2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J41">
            <v>-3.7789999999999999</v>
          </cell>
          <cell r="K41">
            <v>-0.83799999999999997</v>
          </cell>
          <cell r="L41">
            <v>-7.0000000000000007E-2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J42">
            <v>-4.3150000000000004</v>
          </cell>
          <cell r="K42">
            <v>-0.97399999999999998</v>
          </cell>
          <cell r="L42">
            <v>-8.2000000000000003E-2</v>
          </cell>
          <cell r="M42">
            <v>0</v>
          </cell>
          <cell r="N42">
            <v>0</v>
          </cell>
          <cell r="O42">
            <v>0</v>
          </cell>
          <cell r="P42">
            <v>0.16600000000000001</v>
          </cell>
        </row>
        <row r="43">
          <cell r="J43">
            <v>-4.3150000000000004</v>
          </cell>
          <cell r="K43">
            <v>-0.97399999999999998</v>
          </cell>
          <cell r="L43">
            <v>-8.2000000000000003E-2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J44">
            <v>-3.7789999999999999</v>
          </cell>
          <cell r="K44">
            <v>-0.83799999999999997</v>
          </cell>
          <cell r="L44">
            <v>-7.0000000000000007E-2</v>
          </cell>
          <cell r="M44">
            <v>0</v>
          </cell>
          <cell r="N44">
            <v>0</v>
          </cell>
          <cell r="O44">
            <v>0</v>
          </cell>
          <cell r="P44">
            <v>0.13800000000000001</v>
          </cell>
        </row>
        <row r="45">
          <cell r="J45">
            <v>-3.7789999999999999</v>
          </cell>
          <cell r="K45">
            <v>-0.83799999999999997</v>
          </cell>
          <cell r="L45">
            <v>-7.0000000000000007E-2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J46">
            <v>-2.4449999999999998</v>
          </cell>
          <cell r="K46">
            <v>-0.48899999999999999</v>
          </cell>
          <cell r="L46">
            <v>-4.1000000000000002E-2</v>
          </cell>
          <cell r="M46">
            <v>62.86</v>
          </cell>
          <cell r="N46">
            <v>0</v>
          </cell>
          <cell r="O46">
            <v>0</v>
          </cell>
          <cell r="P46">
            <v>0.111</v>
          </cell>
        </row>
        <row r="47">
          <cell r="J47">
            <v>-2.4449999999999998</v>
          </cell>
          <cell r="K47">
            <v>-0.48899999999999999</v>
          </cell>
          <cell r="L47">
            <v>-4.1000000000000002E-2</v>
          </cell>
          <cell r="M47">
            <v>62.86</v>
          </cell>
          <cell r="N47">
            <v>0</v>
          </cell>
          <cell r="O47">
            <v>0</v>
          </cell>
          <cell r="P47">
            <v>0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UEST"/>
    </sheetNames>
    <sheetDataSet>
      <sheetData sheetId="0">
        <row r="8">
          <cell r="D8">
            <v>9.1510999999999996</v>
          </cell>
        </row>
        <row r="24">
          <cell r="C24">
            <v>476.67205370125362</v>
          </cell>
          <cell r="D24">
            <v>465.02625142841555</v>
          </cell>
          <cell r="E24">
            <v>466.90821975723549</v>
          </cell>
          <cell r="F24">
            <v>459.27875631329152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True Up"/>
      <sheetName val="Pass Through"/>
      <sheetName val="Incentive"/>
      <sheetName val="Correction Factor"/>
      <sheetName val="CDCM Entry"/>
      <sheetName val="OBR Oct"/>
      <sheetName val="RPIF"/>
      <sheetName val="Sheet1"/>
    </sheetNames>
    <sheetDataSet>
      <sheetData sheetId="0">
        <row r="11">
          <cell r="B11">
            <v>1.4919533719447264</v>
          </cell>
          <cell r="C11">
            <v>-0.58710082336638258</v>
          </cell>
        </row>
      </sheetData>
      <sheetData sheetId="1">
        <row r="9">
          <cell r="F9">
            <v>13.560286244405669</v>
          </cell>
          <cell r="G9">
            <v>28.324780323145177</v>
          </cell>
        </row>
      </sheetData>
      <sheetData sheetId="2">
        <row r="7">
          <cell r="G7">
            <v>0.76257544453098958</v>
          </cell>
        </row>
        <row r="17">
          <cell r="G17">
            <v>-51.338567082369082</v>
          </cell>
        </row>
        <row r="27">
          <cell r="G27">
            <v>-12.870405215433077</v>
          </cell>
        </row>
        <row r="37">
          <cell r="G37">
            <v>4.0540531473464325</v>
          </cell>
        </row>
        <row r="47">
          <cell r="G47">
            <v>0.78889243056620839</v>
          </cell>
        </row>
        <row r="57">
          <cell r="F57">
            <v>5.470167682429445E-2</v>
          </cell>
          <cell r="G57">
            <v>5.9567116727788291E-2</v>
          </cell>
        </row>
        <row r="67">
          <cell r="G67">
            <v>1.8684058071910286</v>
          </cell>
        </row>
        <row r="79">
          <cell r="F79">
            <v>2.4741028954989774</v>
          </cell>
          <cell r="G79">
            <v>4.6959184932181541</v>
          </cell>
        </row>
      </sheetData>
      <sheetData sheetId="3">
        <row r="6">
          <cell r="F6">
            <v>5.7736132965498443</v>
          </cell>
          <cell r="G6">
            <v>6.3697975116651335</v>
          </cell>
        </row>
        <row r="16">
          <cell r="F16">
            <v>24.962757452198858</v>
          </cell>
          <cell r="G16">
            <v>23.455501838688381</v>
          </cell>
        </row>
        <row r="26">
          <cell r="F26">
            <v>1.6786498120284858</v>
          </cell>
          <cell r="G26">
            <v>1.9888155576185289</v>
          </cell>
        </row>
      </sheetData>
      <sheetData sheetId="4">
        <row r="10">
          <cell r="F10">
            <v>-22.208085568825226</v>
          </cell>
        </row>
      </sheetData>
      <sheetData sheetId="5"/>
      <sheetData sheetId="6">
        <row r="65">
          <cell r="E65">
            <v>1.2145480274894571</v>
          </cell>
          <cell r="F65">
            <v>1.2531202709442131</v>
          </cell>
          <cell r="G65">
            <v>1.2781826763630975</v>
          </cell>
          <cell r="H65">
            <v>1.3037463298903598</v>
          </cell>
        </row>
      </sheetData>
      <sheetData sheetId="7">
        <row r="18">
          <cell r="E18">
            <v>1.478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C &amp; Cumulo"/>
      <sheetName val="WMID"/>
      <sheetName val="EMID"/>
      <sheetName val="SWALES"/>
      <sheetName val="SWEST"/>
      <sheetName val="True up"/>
      <sheetName val="Sheet1"/>
      <sheetName val="Bad debt"/>
    </sheetNames>
    <sheetDataSet>
      <sheetData sheetId="0">
        <row r="8">
          <cell r="B8">
            <v>2.734E-2</v>
          </cell>
          <cell r="C8">
            <v>2.4934999999999999E-2</v>
          </cell>
        </row>
      </sheetData>
      <sheetData sheetId="1">
        <row r="8">
          <cell r="N8">
            <v>0</v>
          </cell>
        </row>
      </sheetData>
      <sheetData sheetId="2">
        <row r="8">
          <cell r="N8">
            <v>0</v>
          </cell>
        </row>
        <row r="9">
          <cell r="N9">
            <v>0</v>
          </cell>
        </row>
      </sheetData>
      <sheetData sheetId="3">
        <row r="8">
          <cell r="N8">
            <v>0</v>
          </cell>
        </row>
      </sheetData>
      <sheetData sheetId="4">
        <row r="8">
          <cell r="N8">
            <v>0</v>
          </cell>
        </row>
      </sheetData>
      <sheetData sheetId="5">
        <row r="8">
          <cell r="J8">
            <v>4.4930333994815381</v>
          </cell>
        </row>
      </sheetData>
      <sheetData sheetId="6">
        <row r="10">
          <cell r="M10">
            <v>1.3740000000000001</v>
          </cell>
        </row>
      </sheetData>
      <sheetData sheetId="7">
        <row r="10">
          <cell r="K10">
            <v>1.6656568153659128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Reactive power charges"/>
      <sheetName val="Capacity charges"/>
      <sheetName val="Fixed charges"/>
      <sheetName val="Revenue matching"/>
      <sheetName val="Fixed charge adder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H82">
            <v>11930443.024507884</v>
          </cell>
        </row>
        <row r="87">
          <cell r="H87">
            <v>502143793.88204896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H82">
            <v>11116221.737114739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3">
          <cell r="H83">
            <v>11599766.028425857</v>
          </cell>
        </row>
        <row r="88">
          <cell r="H88">
            <v>509214576.84500927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Model map"/>
      <sheetName val="Index"/>
      <sheetName val="Named ranges"/>
      <sheetName val="Fixed inputs"/>
      <sheetName val="Inputs by customer type"/>
      <sheetName val="Inputs by network level"/>
      <sheetName val="General inputs"/>
      <sheetName val="Standing charge factors"/>
      <sheetName val="Load &amp; loss characteristics"/>
      <sheetName val="Customer contributions"/>
      <sheetName val="Volume adjustments"/>
      <sheetName val="Pseudo-load coefficients"/>
      <sheetName val="System peak demand"/>
      <sheetName val="Service model assets"/>
      <sheetName val="Unit costs"/>
      <sheetName val="Initial unit rates"/>
      <sheetName val="Service model charges"/>
      <sheetName val="Unit rate charges"/>
      <sheetName val="Capacity charges"/>
      <sheetName val="Reactive power charges"/>
      <sheetName val="Fixed charges"/>
      <sheetName val="SoLR &amp; bad debt adders"/>
      <sheetName val="Revenue matching"/>
      <sheetName val="Rounding"/>
      <sheetName val="Net revenue summary"/>
      <sheetName val="Tariff summary"/>
      <sheetName val="Output to other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7">
          <cell r="H87">
            <v>616354916.019135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66A"/>
      <sheetName val="201819"/>
      <sheetName val="201920"/>
      <sheetName val="202021"/>
      <sheetName val="202122"/>
      <sheetName val="202223"/>
      <sheetName val="202324"/>
      <sheetName val="Actuals"/>
      <sheetName val="Revenue Forecast NHH"/>
      <sheetName val="Revenue Forecast HH"/>
      <sheetName val="3CB2A46846994073A4BCC6F50ACA565"/>
      <sheetName val="Revenue Forecast NHH268"/>
      <sheetName val="Revenue Forecast HH268"/>
      <sheetName val="Forecast Exceptions"/>
      <sheetName val="Budget"/>
      <sheetName val="201819-DUOS INC REC"/>
    </sheetNames>
    <sheetDataSet>
      <sheetData sheetId="0"/>
      <sheetData sheetId="1"/>
      <sheetData sheetId="2"/>
      <sheetData sheetId="3"/>
      <sheetData sheetId="4">
        <row r="7">
          <cell r="N7">
            <v>527.92450753521439</v>
          </cell>
        </row>
      </sheetData>
      <sheetData sheetId="5">
        <row r="7">
          <cell r="N7">
            <v>627.55880237867734</v>
          </cell>
        </row>
      </sheetData>
      <sheetData sheetId="6">
        <row r="7">
          <cell r="N7">
            <v>520.76996235630509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2"/>
  <sheetViews>
    <sheetView topLeftCell="A31" zoomScale="75" zoomScaleNormal="75" workbookViewId="0">
      <selection activeCell="L42" sqref="L42"/>
    </sheetView>
  </sheetViews>
  <sheetFormatPr defaultRowHeight="15" x14ac:dyDescent="0.25"/>
  <cols>
    <col min="1" max="1" width="52.5703125" customWidth="1"/>
    <col min="2" max="2" width="10.28515625" customWidth="1"/>
    <col min="4" max="4" width="12.140625" bestFit="1" customWidth="1"/>
    <col min="5" max="5" width="10.140625" bestFit="1" customWidth="1"/>
    <col min="6" max="6" width="10.140625" customWidth="1"/>
    <col min="7" max="9" width="11.140625" customWidth="1"/>
    <col min="10" max="10" width="48.42578125" customWidth="1"/>
    <col min="11" max="11" width="6.42578125" bestFit="1" customWidth="1"/>
    <col min="12" max="12" width="10.42578125" customWidth="1"/>
    <col min="13" max="20" width="11.5703125" customWidth="1"/>
  </cols>
  <sheetData>
    <row r="1" spans="1:19" ht="15.75" x14ac:dyDescent="0.25">
      <c r="A1" s="1" t="s">
        <v>103</v>
      </c>
      <c r="B1" s="2" t="s">
        <v>125</v>
      </c>
      <c r="C1" s="2"/>
      <c r="D1" s="2"/>
      <c r="E1" s="2"/>
      <c r="F1" s="2"/>
      <c r="G1" s="2"/>
      <c r="H1" s="2"/>
      <c r="I1" s="2"/>
      <c r="J1" s="2"/>
    </row>
    <row r="2" spans="1:19" ht="15.75" x14ac:dyDescent="0.25">
      <c r="A2" s="1" t="s">
        <v>104</v>
      </c>
      <c r="B2" s="31">
        <v>44682</v>
      </c>
      <c r="C2" s="2"/>
      <c r="D2" s="35"/>
      <c r="E2" s="35"/>
      <c r="F2" s="35"/>
      <c r="G2" s="35"/>
      <c r="H2" s="35"/>
      <c r="I2" s="35"/>
      <c r="J2" s="2"/>
    </row>
    <row r="3" spans="1:19" ht="15.7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9" ht="31.5" x14ac:dyDescent="0.25">
      <c r="A4" s="8" t="s">
        <v>1</v>
      </c>
      <c r="B4" s="9" t="s">
        <v>2</v>
      </c>
      <c r="C4" s="9" t="s">
        <v>3</v>
      </c>
      <c r="D4" s="10"/>
      <c r="E4" s="10"/>
      <c r="F4" s="10"/>
      <c r="G4" s="10"/>
      <c r="H4" s="10"/>
      <c r="I4" s="10"/>
      <c r="J4" s="11" t="s">
        <v>4</v>
      </c>
    </row>
    <row r="5" spans="1:19" ht="15.75" x14ac:dyDescent="0.25">
      <c r="A5" s="9" t="s">
        <v>5</v>
      </c>
      <c r="B5" s="9"/>
      <c r="C5" s="9"/>
      <c r="D5" s="12" t="s">
        <v>6</v>
      </c>
      <c r="E5" s="12" t="s">
        <v>7</v>
      </c>
      <c r="F5" s="8" t="s">
        <v>145</v>
      </c>
      <c r="G5" s="8" t="s">
        <v>8</v>
      </c>
      <c r="H5" s="8" t="s">
        <v>9</v>
      </c>
      <c r="I5" s="8" t="s">
        <v>154</v>
      </c>
      <c r="J5" s="11"/>
    </row>
    <row r="6" spans="1:19" ht="15.75" x14ac:dyDescent="0.25">
      <c r="A6" s="9"/>
      <c r="B6" s="9"/>
      <c r="C6" s="9"/>
      <c r="D6" s="13" t="s">
        <v>122</v>
      </c>
      <c r="E6" s="13" t="s">
        <v>123</v>
      </c>
      <c r="F6" s="13" t="s">
        <v>144</v>
      </c>
      <c r="G6" s="13" t="s">
        <v>155</v>
      </c>
      <c r="H6" s="13" t="s">
        <v>175</v>
      </c>
      <c r="I6" s="13" t="s">
        <v>209</v>
      </c>
      <c r="J6" s="11"/>
    </row>
    <row r="7" spans="1:19" ht="30" x14ac:dyDescent="0.25">
      <c r="A7" s="14" t="s">
        <v>10</v>
      </c>
      <c r="B7" s="15" t="s">
        <v>11</v>
      </c>
      <c r="C7" s="14" t="s">
        <v>12</v>
      </c>
      <c r="D7" s="27">
        <f>'[1]R6 Base Demand Revenue'!M6</f>
        <v>427.6</v>
      </c>
      <c r="E7" s="27">
        <f>'[1]R6 Base Demand Revenue'!N6</f>
        <v>431.9</v>
      </c>
      <c r="F7" s="27">
        <f>'[2]REVENUE REQUEST'!C$24</f>
        <v>476.67205370125362</v>
      </c>
      <c r="G7" s="27">
        <f>'[2]REVENUE REQUEST'!D$24</f>
        <v>465.02625142841555</v>
      </c>
      <c r="H7" s="27">
        <f>'[2]REVENUE REQUEST'!E$24</f>
        <v>466.90821975723549</v>
      </c>
      <c r="I7" s="27">
        <f>'[2]REVENUE REQUEST'!F$24</f>
        <v>459.27875631329152</v>
      </c>
      <c r="J7" s="10" t="s">
        <v>179</v>
      </c>
      <c r="K7" s="24"/>
      <c r="L7" s="24"/>
      <c r="M7" s="24"/>
      <c r="N7" s="24"/>
      <c r="O7" s="24"/>
    </row>
    <row r="8" spans="1:19" ht="15.75" x14ac:dyDescent="0.25">
      <c r="A8" s="14" t="s">
        <v>13</v>
      </c>
      <c r="B8" s="14" t="s">
        <v>14</v>
      </c>
      <c r="C8" s="14" t="s">
        <v>12</v>
      </c>
      <c r="D8" s="27">
        <f>'[1]R6 Base Demand Revenue'!M7</f>
        <v>-17.7</v>
      </c>
      <c r="E8" s="27">
        <f>'[1]R6 Base Demand Revenue'!N7</f>
        <v>-37.92263020416852</v>
      </c>
      <c r="F8" s="27">
        <f>[3]PU!$B$11</f>
        <v>1.4919533719447264</v>
      </c>
      <c r="G8" s="27">
        <f>[3]PU!$C$11</f>
        <v>-0.58710082336638258</v>
      </c>
      <c r="H8" s="27">
        <f>[4]EMID!N8</f>
        <v>0</v>
      </c>
      <c r="I8" s="27"/>
      <c r="J8" s="10" t="s">
        <v>180</v>
      </c>
      <c r="K8" s="24"/>
      <c r="L8" s="24"/>
      <c r="M8" s="24"/>
      <c r="N8" s="24"/>
      <c r="O8" s="24"/>
    </row>
    <row r="9" spans="1:19" ht="15.75" x14ac:dyDescent="0.25">
      <c r="A9" s="14" t="s">
        <v>15</v>
      </c>
      <c r="B9" s="14" t="s">
        <v>16</v>
      </c>
      <c r="C9" s="14" t="s">
        <v>12</v>
      </c>
      <c r="D9" s="27">
        <f>'[1]R6 Base Demand Revenue'!M8</f>
        <v>-3.7841394984471552</v>
      </c>
      <c r="E9" s="27">
        <f>'[1]R6 Base Demand Revenue'!N8</f>
        <v>-5.2823777100929892</v>
      </c>
      <c r="F9" s="27">
        <f>'[3]True Up'!$F$9</f>
        <v>13.560286244405669</v>
      </c>
      <c r="G9" s="27">
        <f>'[3]True Up'!$G$9</f>
        <v>28.324780323145177</v>
      </c>
      <c r="H9" s="27">
        <f>[4]EMID!N9</f>
        <v>0</v>
      </c>
      <c r="I9" s="27"/>
      <c r="J9" s="10" t="s">
        <v>181</v>
      </c>
      <c r="K9" s="24"/>
      <c r="L9" s="24"/>
      <c r="M9" s="24"/>
      <c r="N9" s="24"/>
      <c r="O9" s="24"/>
    </row>
    <row r="10" spans="1:19" ht="30" x14ac:dyDescent="0.25">
      <c r="A10" s="14" t="s">
        <v>17</v>
      </c>
      <c r="B10" s="14" t="s">
        <v>18</v>
      </c>
      <c r="C10" s="14" t="s">
        <v>12</v>
      </c>
      <c r="D10" s="26">
        <f>'[1]R6 Base Demand Revenue'!M9</f>
        <v>1.238</v>
      </c>
      <c r="E10" s="26">
        <f>'[1]R6 Base Demand Revenue'!N9</f>
        <v>1.321</v>
      </c>
      <c r="F10" s="26">
        <f>'[3]OBR Oct'!E$65</f>
        <v>1.2145480274894571</v>
      </c>
      <c r="G10" s="26">
        <f>'[3]OBR Oct'!F$65</f>
        <v>1.2531202709442131</v>
      </c>
      <c r="H10" s="26">
        <f>'[3]OBR Oct'!G$65</f>
        <v>1.2781826763630975</v>
      </c>
      <c r="I10" s="26">
        <f>'[3]OBR Oct'!H$65</f>
        <v>1.3037463298903598</v>
      </c>
      <c r="J10" s="10" t="s">
        <v>182</v>
      </c>
      <c r="K10" s="25"/>
      <c r="L10" s="25"/>
      <c r="M10" s="25"/>
      <c r="N10" s="25"/>
      <c r="O10" s="25"/>
    </row>
    <row r="11" spans="1:19" ht="31.5" x14ac:dyDescent="0.25">
      <c r="A11" s="16" t="s">
        <v>19</v>
      </c>
      <c r="B11" s="17" t="s">
        <v>20</v>
      </c>
      <c r="C11" s="16" t="s">
        <v>21</v>
      </c>
      <c r="D11" s="28">
        <f t="shared" ref="D11:I11" si="0">(D7+D8+D9)*D10</f>
        <v>502.77143530092246</v>
      </c>
      <c r="E11" s="28">
        <f t="shared" si="0"/>
        <v>513.46608454526051</v>
      </c>
      <c r="F11" s="28">
        <f t="shared" si="0"/>
        <v>597.22277051754315</v>
      </c>
      <c r="G11" s="28">
        <f t="shared" si="0"/>
        <v>617.49247063627433</v>
      </c>
      <c r="H11" s="28">
        <f t="shared" si="0"/>
        <v>596.79399794523249</v>
      </c>
      <c r="I11" s="28">
        <f t="shared" si="0"/>
        <v>598.78299294006274</v>
      </c>
      <c r="J11" s="18" t="s">
        <v>22</v>
      </c>
      <c r="K11" s="24"/>
      <c r="L11" s="38"/>
      <c r="M11" s="38"/>
      <c r="N11" s="38"/>
      <c r="O11" s="38"/>
      <c r="P11" s="38"/>
      <c r="Q11" s="38"/>
      <c r="R11" s="38"/>
      <c r="S11" s="38"/>
    </row>
    <row r="12" spans="1:19" ht="15.75" x14ac:dyDescent="0.25">
      <c r="A12" s="14" t="s">
        <v>23</v>
      </c>
      <c r="B12" s="15" t="s">
        <v>24</v>
      </c>
      <c r="C12" s="14" t="s">
        <v>25</v>
      </c>
      <c r="D12" s="27">
        <f>'[1]R8 Pass-Through Items'!M6</f>
        <v>0.53490082526583216</v>
      </c>
      <c r="E12" s="27">
        <f>'[1]R8 Pass-Through Items'!N6</f>
        <v>0.54517467061825697</v>
      </c>
      <c r="F12" s="27">
        <f>(('[1]R8 Pass-Through Items'!M$26/'[1]R8 Pass-Through Items'!M$27-'[1]R8 Pass-Through Items'!M$28))*(1+'[4]WACC &amp; Cumulo'!B$8)*(1+'[4]WACC &amp; Cumulo'!C$8)*[3]RPIF!$E$18</f>
        <v>1.2175867728905572</v>
      </c>
      <c r="G12" s="27">
        <f>'[3]Pass Through'!$G$7</f>
        <v>0.76257544453098958</v>
      </c>
      <c r="H12" s="27"/>
      <c r="I12" s="27"/>
      <c r="J12" s="10" t="s">
        <v>183</v>
      </c>
      <c r="K12" s="24"/>
      <c r="L12" s="24"/>
      <c r="M12" s="24"/>
      <c r="N12" s="24"/>
      <c r="O12" s="24"/>
    </row>
    <row r="13" spans="1:19" ht="15.75" x14ac:dyDescent="0.25">
      <c r="A13" s="14" t="s">
        <v>26</v>
      </c>
      <c r="B13" s="15" t="s">
        <v>27</v>
      </c>
      <c r="C13" s="14" t="s">
        <v>25</v>
      </c>
      <c r="D13" s="27">
        <f>'[1]R8 Pass-Through Items'!M7</f>
        <v>-31.74795262376475</v>
      </c>
      <c r="E13" s="27">
        <f>'[1]R8 Pass-Through Items'!N7</f>
        <v>-35.506181997053545</v>
      </c>
      <c r="F13" s="27">
        <f>('[1]R8 Pass-Through Items'!M$36/'[1]R8 Pass-Through Items'!M$37-'[1]R8 Pass-Through Items'!M$38)*(1+'[4]WACC &amp; Cumulo'!B$8)*(1+'[4]WACC &amp; Cumulo'!C$8)*[3]RPIF!$E$18</f>
        <v>-43.767999147557333</v>
      </c>
      <c r="G13" s="27">
        <f>'[3]Pass Through'!$G$17</f>
        <v>-51.338567082369082</v>
      </c>
      <c r="H13" s="27"/>
      <c r="I13" s="27"/>
      <c r="J13" s="10" t="s">
        <v>183</v>
      </c>
      <c r="K13" s="24"/>
      <c r="L13" s="24"/>
      <c r="M13" s="24"/>
      <c r="N13" s="24"/>
      <c r="O13" s="24"/>
    </row>
    <row r="14" spans="1:19" ht="31.5" x14ac:dyDescent="0.25">
      <c r="A14" s="14" t="s">
        <v>102</v>
      </c>
      <c r="B14" s="15" t="s">
        <v>28</v>
      </c>
      <c r="C14" s="14" t="s">
        <v>25</v>
      </c>
      <c r="D14" s="27">
        <f>'[1]R8 Pass-Through Items'!M8</f>
        <v>-3.7281305363909376</v>
      </c>
      <c r="E14" s="27">
        <f>'[1]R8 Pass-Through Items'!N8</f>
        <v>-4.8889377764891391</v>
      </c>
      <c r="F14" s="27">
        <f>('[1]R8 Pass-Through Items'!M$46/'[1]R8 Pass-Through Items'!M$47-'[1]R8 Pass-Through Items'!M$48)*(1+'[4]WACC &amp; Cumulo'!B$8)*(1+'[4]WACC &amp; Cumulo'!C$8)*[3]RPIF!$E$18</f>
        <v>-8.5324635903242125</v>
      </c>
      <c r="G14" s="27">
        <f>'[3]Pass Through'!$G$27</f>
        <v>-12.870405215433077</v>
      </c>
      <c r="H14" s="27"/>
      <c r="I14" s="27"/>
      <c r="J14" s="10" t="s">
        <v>183</v>
      </c>
      <c r="K14" s="24"/>
      <c r="L14" s="24"/>
      <c r="M14" s="24"/>
      <c r="N14" s="24"/>
      <c r="O14" s="24"/>
    </row>
    <row r="15" spans="1:19" ht="31.5" x14ac:dyDescent="0.25">
      <c r="A15" s="14" t="s">
        <v>29</v>
      </c>
      <c r="B15" s="14" t="s">
        <v>30</v>
      </c>
      <c r="C15" s="14" t="s">
        <v>25</v>
      </c>
      <c r="D15" s="27">
        <f>'[1]R8 Pass-Through Items'!M10</f>
        <v>1.6816208310292715</v>
      </c>
      <c r="E15" s="27">
        <f>'[1]R8 Pass-Through Items'!N10</f>
        <v>2.5670422838188749</v>
      </c>
      <c r="F15" s="27">
        <f>('[1]R8 Pass-Through Items'!M$56/'[1]R8 Pass-Through Items'!M$57-'[1]R8 Pass-Through Items'!M$58)*(1+'[4]WACC &amp; Cumulo'!B$8)*(1+'[4]WACC &amp; Cumulo'!C$8)*[3]RPIF!$E$18</f>
        <v>3.4732505405528524</v>
      </c>
      <c r="G15" s="27">
        <f>'[3]Pass Through'!$G$37</f>
        <v>4.0540531473464325</v>
      </c>
      <c r="H15" s="27"/>
      <c r="I15" s="27"/>
      <c r="J15" s="10" t="s">
        <v>183</v>
      </c>
      <c r="K15" s="24"/>
      <c r="L15" s="24"/>
      <c r="M15" s="24"/>
      <c r="N15" s="24"/>
      <c r="O15" s="24"/>
    </row>
    <row r="16" spans="1:19" ht="15.75" x14ac:dyDescent="0.25">
      <c r="A16" s="14" t="s">
        <v>31</v>
      </c>
      <c r="B16" s="14" t="s">
        <v>32</v>
      </c>
      <c r="C16" s="14" t="s">
        <v>25</v>
      </c>
      <c r="D16" s="27">
        <f>'[1]R8 Pass-Through Items'!M11</f>
        <v>0.42646300532604459</v>
      </c>
      <c r="E16" s="27">
        <f>'[1]R8 Pass-Through Items'!N11</f>
        <v>-0.34567650501000025</v>
      </c>
      <c r="F16" s="27">
        <f>('[1]R8 Pass-Through Items'!M$66/'[1]R8 Pass-Through Items'!M$67-'[1]R8 Pass-Through Items'!M$68)*(1+'[4]WACC &amp; Cumulo'!B$8)*(1+'[4]WACC &amp; Cumulo'!C$8)*[3]RPIF!$E$18</f>
        <v>0.48448308399861684</v>
      </c>
      <c r="G16" s="27">
        <f>'[3]Pass Through'!$G$47</f>
        <v>0.78889243056620839</v>
      </c>
      <c r="H16" s="27"/>
      <c r="I16" s="27"/>
      <c r="J16" s="10" t="s">
        <v>183</v>
      </c>
      <c r="K16" s="24"/>
      <c r="L16" s="24"/>
      <c r="M16" s="24"/>
      <c r="N16" s="24"/>
      <c r="O16" s="24"/>
    </row>
    <row r="17" spans="1:19" ht="15.75" x14ac:dyDescent="0.25">
      <c r="A17" s="14" t="s">
        <v>33</v>
      </c>
      <c r="B17" s="15" t="s">
        <v>34</v>
      </c>
      <c r="C17" s="14" t="s">
        <v>25</v>
      </c>
      <c r="D17" s="58">
        <f>'[1]R8 Pass-Through Items'!M12</f>
        <v>4.753250955699484E-2</v>
      </c>
      <c r="E17" s="27">
        <f>'[1]R8 Pass-Through Items'!N12</f>
        <v>5.3687682785493206E-2</v>
      </c>
      <c r="F17" s="27">
        <f>'[3]Pass Through'!$F$57</f>
        <v>5.470167682429445E-2</v>
      </c>
      <c r="G17" s="27">
        <f>'[3]Pass Through'!$G$57</f>
        <v>5.9567116727788291E-2</v>
      </c>
      <c r="H17" s="27"/>
      <c r="I17" s="27"/>
      <c r="J17" s="10" t="s">
        <v>183</v>
      </c>
      <c r="K17" s="24"/>
      <c r="L17" s="24"/>
      <c r="M17" s="24"/>
      <c r="N17" s="24"/>
      <c r="O17" s="24"/>
    </row>
    <row r="18" spans="1:19" ht="18" customHeight="1" x14ac:dyDescent="0.25">
      <c r="A18" s="14" t="s">
        <v>146</v>
      </c>
      <c r="B18" s="15" t="s">
        <v>147</v>
      </c>
      <c r="C18" s="14" t="s">
        <v>25</v>
      </c>
      <c r="D18" s="27">
        <f>'[1]R8 Pass-Through Items'!M$15</f>
        <v>-5.6798307740966503E-2</v>
      </c>
      <c r="E18" s="27">
        <f>'[1]R8 Pass-Through Items'!N$15</f>
        <v>88.971026147985143</v>
      </c>
      <c r="F18" s="27">
        <f>'[1]R8 Pass-Through Items'!M$119/'[1]R8 Pass-Through Items'!M$120*(1+'[4]WACC &amp; Cumulo'!B$8)*(1+'[4]WACC &amp; Cumulo'!C$8)*[3]RPIF!$E$18</f>
        <v>1.2203246561339245</v>
      </c>
      <c r="G18" s="27">
        <f>'[3]Pass Through'!$G$67</f>
        <v>1.8684058071910286</v>
      </c>
      <c r="H18" s="27"/>
      <c r="I18" s="27"/>
      <c r="J18" s="10" t="s">
        <v>183</v>
      </c>
      <c r="K18" s="24"/>
      <c r="L18" s="24"/>
      <c r="M18" s="24"/>
      <c r="N18" s="24"/>
      <c r="O18" s="24"/>
    </row>
    <row r="19" spans="1:19" ht="15.75" x14ac:dyDescent="0.25">
      <c r="A19" s="14" t="s">
        <v>148</v>
      </c>
      <c r="B19" s="15" t="s">
        <v>149</v>
      </c>
      <c r="C19" s="14" t="s">
        <v>25</v>
      </c>
      <c r="D19" s="27">
        <f>'[1]R8 Pass-Through Items'!M$16</f>
        <v>1.5836069852126782</v>
      </c>
      <c r="E19" s="27">
        <f>'[1]R8 Pass-Through Items'!N$16</f>
        <v>0.44024888046097277</v>
      </c>
      <c r="F19" s="27">
        <f>'[3]Pass Through'!F$79</f>
        <v>2.4741028954989774</v>
      </c>
      <c r="G19" s="27">
        <f>'[3]Pass Through'!G$79</f>
        <v>4.6959184932181541</v>
      </c>
      <c r="H19" s="27"/>
      <c r="I19" s="27"/>
      <c r="J19" s="10" t="s">
        <v>121</v>
      </c>
      <c r="K19" s="24"/>
      <c r="L19" s="24"/>
      <c r="M19" s="24"/>
      <c r="N19" s="24"/>
      <c r="O19" s="24"/>
    </row>
    <row r="20" spans="1:19" ht="15.75" x14ac:dyDescent="0.25">
      <c r="A20" s="14" t="s">
        <v>173</v>
      </c>
      <c r="B20" s="15" t="s">
        <v>174</v>
      </c>
      <c r="C20" s="14" t="s">
        <v>25</v>
      </c>
      <c r="D20" s="27">
        <f>'[1]R8 Pass-Through Items'!$M$154</f>
        <v>0.17663887980594198</v>
      </c>
      <c r="E20" s="27">
        <f>'[1]R8 Pass-Through Items'!$N$154</f>
        <v>5.6271163021376653E-3</v>
      </c>
      <c r="F20" s="27">
        <v>0</v>
      </c>
      <c r="G20" s="27">
        <v>0</v>
      </c>
      <c r="H20" s="27"/>
      <c r="I20" s="27"/>
      <c r="J20" s="10"/>
      <c r="K20" s="24"/>
      <c r="L20" s="24"/>
      <c r="M20" s="24"/>
      <c r="N20" s="24"/>
      <c r="O20" s="24"/>
    </row>
    <row r="21" spans="1:19" ht="31.5" x14ac:dyDescent="0.25">
      <c r="A21" s="14" t="s">
        <v>150</v>
      </c>
      <c r="B21" s="10" t="s">
        <v>35</v>
      </c>
      <c r="C21" s="14" t="s">
        <v>25</v>
      </c>
      <c r="D21" s="27">
        <v>0</v>
      </c>
      <c r="E21" s="27">
        <v>0</v>
      </c>
      <c r="F21" s="27">
        <v>0</v>
      </c>
      <c r="G21" s="27">
        <v>0</v>
      </c>
      <c r="H21" s="27"/>
      <c r="I21" s="27"/>
      <c r="J21" s="10"/>
      <c r="K21" s="24"/>
      <c r="L21" s="24"/>
      <c r="M21" s="24"/>
      <c r="N21" s="24"/>
      <c r="O21" s="24"/>
    </row>
    <row r="22" spans="1:19" ht="31.5" x14ac:dyDescent="0.25">
      <c r="A22" s="16" t="s">
        <v>151</v>
      </c>
      <c r="B22" s="17" t="s">
        <v>36</v>
      </c>
      <c r="C22" s="16" t="s">
        <v>37</v>
      </c>
      <c r="D22" s="67">
        <f t="shared" ref="D22:I22" si="1">SUM(D12:D21)</f>
        <v>-31.082118431699893</v>
      </c>
      <c r="E22" s="67">
        <f t="shared" si="1"/>
        <v>51.842010503418201</v>
      </c>
      <c r="F22" s="67">
        <f t="shared" si="1"/>
        <v>-43.376013111982317</v>
      </c>
      <c r="G22" s="67">
        <f t="shared" si="1"/>
        <v>-51.979559858221556</v>
      </c>
      <c r="H22" s="28">
        <f t="shared" si="1"/>
        <v>0</v>
      </c>
      <c r="I22" s="28">
        <f t="shared" si="1"/>
        <v>0</v>
      </c>
      <c r="J22" s="19" t="s">
        <v>38</v>
      </c>
      <c r="K22" s="24"/>
      <c r="L22" s="37"/>
      <c r="M22" s="37"/>
      <c r="N22" s="37"/>
      <c r="O22" s="37"/>
      <c r="P22" s="37"/>
      <c r="Q22" s="37"/>
      <c r="R22" s="37"/>
      <c r="S22" s="37"/>
    </row>
    <row r="23" spans="1:19" ht="15.75" x14ac:dyDescent="0.25">
      <c r="A23" s="14" t="s">
        <v>39</v>
      </c>
      <c r="B23" s="15" t="s">
        <v>40</v>
      </c>
      <c r="C23" s="14" t="s">
        <v>41</v>
      </c>
      <c r="D23" s="27">
        <f>'[1]R7 Output Incentives'!M6</f>
        <v>5.3929280882803718</v>
      </c>
      <c r="E23" s="27">
        <f>'[1]R7 Output Incentives'!N6</f>
        <v>5.45833526106059</v>
      </c>
      <c r="F23" s="27">
        <f>[3]Incentive!$F$6</f>
        <v>5.7736132965498443</v>
      </c>
      <c r="G23" s="27">
        <f>[3]Incentive!$G$6</f>
        <v>6.3697975116651335</v>
      </c>
      <c r="H23" s="27"/>
      <c r="I23" s="27"/>
      <c r="J23" s="10" t="s">
        <v>183</v>
      </c>
      <c r="K23" s="24"/>
      <c r="L23" s="24"/>
      <c r="M23" s="24"/>
      <c r="N23" s="24"/>
      <c r="O23" s="24"/>
    </row>
    <row r="24" spans="1:19" ht="15.75" x14ac:dyDescent="0.25">
      <c r="A24" s="14" t="s">
        <v>42</v>
      </c>
      <c r="B24" s="15" t="s">
        <v>43</v>
      </c>
      <c r="C24" s="14" t="s">
        <v>44</v>
      </c>
      <c r="D24" s="27">
        <f>'[1]R7 Output Incentives'!M7</f>
        <v>22.40602169985376</v>
      </c>
      <c r="E24" s="27">
        <f>'[1]R7 Output Incentives'!N7</f>
        <v>21.210069918730305</v>
      </c>
      <c r="F24" s="27">
        <f>[3]Incentive!$F$16</f>
        <v>24.962757452198858</v>
      </c>
      <c r="G24" s="27">
        <f>[3]Incentive!$G$16</f>
        <v>23.455501838688381</v>
      </c>
      <c r="H24" s="27"/>
      <c r="I24" s="27"/>
      <c r="J24" s="10" t="s">
        <v>183</v>
      </c>
      <c r="K24" s="24"/>
      <c r="L24" s="24"/>
      <c r="M24" s="24"/>
      <c r="N24" s="24"/>
      <c r="O24" s="24"/>
    </row>
    <row r="25" spans="1:19" ht="15.75" x14ac:dyDescent="0.25">
      <c r="A25" s="14" t="s">
        <v>45</v>
      </c>
      <c r="B25" s="15" t="s">
        <v>46</v>
      </c>
      <c r="C25" s="14" t="s">
        <v>47</v>
      </c>
      <c r="D25" s="27">
        <f>'[1]R7 Output Incentives'!M8</f>
        <v>0</v>
      </c>
      <c r="E25" s="27">
        <f>'[1]R7 Output Incentives'!N8</f>
        <v>0</v>
      </c>
      <c r="F25" s="27">
        <v>0</v>
      </c>
      <c r="G25" s="27">
        <v>0</v>
      </c>
      <c r="H25" s="27"/>
      <c r="I25" s="27"/>
      <c r="J25" s="10" t="s">
        <v>120</v>
      </c>
      <c r="K25" s="24"/>
      <c r="L25" s="24"/>
      <c r="M25" s="24"/>
      <c r="N25" s="24"/>
      <c r="O25" s="24"/>
    </row>
    <row r="26" spans="1:19" ht="15.75" x14ac:dyDescent="0.25">
      <c r="A26" s="14" t="s">
        <v>48</v>
      </c>
      <c r="B26" s="15" t="s">
        <v>49</v>
      </c>
      <c r="C26" s="14" t="s">
        <v>50</v>
      </c>
      <c r="D26" s="27">
        <f>'[1]R7 Output Incentives'!M9</f>
        <v>1.8847781340777878</v>
      </c>
      <c r="E26" s="27">
        <f>'[1]R7 Output Incentives'!N9</f>
        <v>1.6180787977947133</v>
      </c>
      <c r="F26" s="27">
        <f>[3]Incentive!$F$26</f>
        <v>1.6786498120284858</v>
      </c>
      <c r="G26" s="27">
        <f>[3]Incentive!$G$26</f>
        <v>1.9888155576185289</v>
      </c>
      <c r="H26" s="27"/>
      <c r="I26" s="27"/>
      <c r="J26" s="10" t="s">
        <v>183</v>
      </c>
      <c r="K26" s="24"/>
      <c r="L26" s="24"/>
      <c r="M26" s="24"/>
      <c r="N26" s="24"/>
      <c r="O26" s="24"/>
    </row>
    <row r="27" spans="1:19" ht="15.75" x14ac:dyDescent="0.25">
      <c r="A27" s="14" t="s">
        <v>51</v>
      </c>
      <c r="B27" s="14" t="s">
        <v>52</v>
      </c>
      <c r="C27" s="14" t="s">
        <v>53</v>
      </c>
      <c r="D27" s="27">
        <f>'[1]R7 Output Incentives'!M10</f>
        <v>0</v>
      </c>
      <c r="E27" s="27">
        <f>'[1]R7 Output Incentives'!N10</f>
        <v>0</v>
      </c>
      <c r="F27" s="27">
        <v>0</v>
      </c>
      <c r="G27" s="27">
        <v>0</v>
      </c>
      <c r="H27" s="27"/>
      <c r="I27" s="27"/>
      <c r="J27" s="10" t="s">
        <v>120</v>
      </c>
      <c r="K27" s="24"/>
      <c r="L27" s="24"/>
      <c r="M27" s="24"/>
      <c r="N27" s="24"/>
      <c r="O27" s="24"/>
    </row>
    <row r="28" spans="1:19" ht="15.75" x14ac:dyDescent="0.25">
      <c r="A28" s="14" t="s">
        <v>54</v>
      </c>
      <c r="B28" s="15" t="s">
        <v>55</v>
      </c>
      <c r="C28" s="14" t="s">
        <v>56</v>
      </c>
      <c r="D28" s="27">
        <f>'[1]R14 Allowed Revenue Summary'!M11</f>
        <v>1.7461530000000003</v>
      </c>
      <c r="E28" s="27">
        <f>'[1]R14 Allowed Revenue Summary'!N11</f>
        <v>2.2064648039999999</v>
      </c>
      <c r="F28" s="27">
        <v>0</v>
      </c>
      <c r="G28" s="27">
        <v>0</v>
      </c>
      <c r="H28" s="27"/>
      <c r="I28" s="27"/>
      <c r="J28" s="10" t="s">
        <v>183</v>
      </c>
      <c r="K28" s="24"/>
      <c r="L28" s="24"/>
      <c r="M28" s="24"/>
      <c r="N28" s="24"/>
      <c r="O28" s="24"/>
    </row>
    <row r="29" spans="1:19" ht="15.75" x14ac:dyDescent="0.25">
      <c r="A29" s="73" t="s">
        <v>57</v>
      </c>
      <c r="B29" s="14" t="s">
        <v>58</v>
      </c>
      <c r="C29" s="14" t="s">
        <v>59</v>
      </c>
      <c r="D29" s="27">
        <v>0</v>
      </c>
      <c r="E29" s="27">
        <v>0</v>
      </c>
      <c r="F29" s="27">
        <v>0</v>
      </c>
      <c r="G29" s="27">
        <v>0</v>
      </c>
      <c r="H29" s="27"/>
      <c r="I29" s="27"/>
      <c r="J29" s="10" t="s">
        <v>120</v>
      </c>
      <c r="K29" s="24"/>
      <c r="L29" s="24"/>
      <c r="M29" s="24"/>
      <c r="N29" s="24"/>
      <c r="O29" s="24"/>
    </row>
    <row r="30" spans="1:19" ht="15.75" x14ac:dyDescent="0.25">
      <c r="A30" s="74"/>
      <c r="B30" s="14" t="s">
        <v>60</v>
      </c>
      <c r="C30" s="14" t="s">
        <v>59</v>
      </c>
      <c r="D30" s="27">
        <f>'[1]R14 Allowed Revenue Summary'!M12</f>
        <v>6.1786149999999998E-2</v>
      </c>
      <c r="E30" s="27">
        <f>'[1]R14 Allowed Revenue Summary'!N12</f>
        <v>-0.29018629000000001</v>
      </c>
      <c r="F30" s="27">
        <v>0</v>
      </c>
      <c r="G30" s="27">
        <v>0</v>
      </c>
      <c r="H30" s="27"/>
      <c r="I30" s="27"/>
      <c r="J30" s="10" t="s">
        <v>184</v>
      </c>
      <c r="K30" s="24"/>
      <c r="L30" s="24"/>
      <c r="M30" s="24"/>
      <c r="N30" s="24"/>
      <c r="O30" s="24"/>
    </row>
    <row r="31" spans="1:19" ht="31.5" x14ac:dyDescent="0.25">
      <c r="A31" s="14" t="s">
        <v>61</v>
      </c>
      <c r="B31" s="14" t="s">
        <v>62</v>
      </c>
      <c r="C31" s="14" t="s">
        <v>63</v>
      </c>
      <c r="D31" s="27">
        <v>0</v>
      </c>
      <c r="E31" s="27">
        <v>0</v>
      </c>
      <c r="F31" s="27">
        <v>0</v>
      </c>
      <c r="G31" s="27">
        <v>0</v>
      </c>
      <c r="H31" s="27"/>
      <c r="I31" s="27"/>
      <c r="J31" s="10" t="s">
        <v>120</v>
      </c>
      <c r="K31" s="24"/>
      <c r="L31" s="24"/>
      <c r="M31" s="24"/>
      <c r="N31" s="24"/>
      <c r="O31" s="24"/>
    </row>
    <row r="32" spans="1:19" ht="15.75" x14ac:dyDescent="0.25">
      <c r="A32" s="75" t="s">
        <v>64</v>
      </c>
      <c r="B32" s="15" t="s">
        <v>65</v>
      </c>
      <c r="C32" s="14" t="s">
        <v>66</v>
      </c>
      <c r="D32" s="27">
        <f>'[1]R14 Allowed Revenue Summary'!M15</f>
        <v>0</v>
      </c>
      <c r="E32" s="27">
        <f>'[1]R14 Allowed Revenue Summary'!N15</f>
        <v>0</v>
      </c>
      <c r="F32" s="27">
        <v>0</v>
      </c>
      <c r="G32" s="27">
        <v>0</v>
      </c>
      <c r="H32" s="27"/>
      <c r="I32" s="27"/>
      <c r="J32" s="10" t="s">
        <v>121</v>
      </c>
      <c r="K32" s="24"/>
      <c r="L32" s="24"/>
      <c r="M32" s="24"/>
      <c r="N32" s="24"/>
      <c r="O32" s="24"/>
    </row>
    <row r="33" spans="1:19" ht="15.75" x14ac:dyDescent="0.25">
      <c r="A33" s="76"/>
      <c r="B33" s="14" t="s">
        <v>67</v>
      </c>
      <c r="C33" s="14" t="s">
        <v>66</v>
      </c>
      <c r="D33" s="27">
        <v>0</v>
      </c>
      <c r="E33" s="27">
        <v>0</v>
      </c>
      <c r="F33" s="27">
        <f>E33</f>
        <v>0</v>
      </c>
      <c r="G33" s="27">
        <f>F33</f>
        <v>0</v>
      </c>
      <c r="H33" s="27"/>
      <c r="I33" s="27"/>
      <c r="J33" s="10" t="s">
        <v>120</v>
      </c>
      <c r="K33" s="24"/>
      <c r="L33" s="24"/>
      <c r="M33" s="24"/>
      <c r="N33" s="24"/>
      <c r="O33" s="24"/>
    </row>
    <row r="34" spans="1:19" ht="31.5" x14ac:dyDescent="0.25">
      <c r="A34" s="19" t="s">
        <v>68</v>
      </c>
      <c r="B34" s="19"/>
      <c r="C34" s="19"/>
      <c r="D34" s="28">
        <f t="shared" ref="D34:H34" si="2">D23+D24+D25+D26+D27+D28+D29+D30+D31+D32+D33</f>
        <v>31.491667072211918</v>
      </c>
      <c r="E34" s="28">
        <f t="shared" si="2"/>
        <v>30.202762491585606</v>
      </c>
      <c r="F34" s="28">
        <f t="shared" si="2"/>
        <v>32.415020560777187</v>
      </c>
      <c r="G34" s="28">
        <f t="shared" si="2"/>
        <v>31.814114907972044</v>
      </c>
      <c r="H34" s="28">
        <f t="shared" si="2"/>
        <v>0</v>
      </c>
      <c r="I34" s="28">
        <f t="shared" ref="I34" si="3">I23+I24+I25+I26+I27+I28+I29+I30+I31+I32+I33</f>
        <v>0</v>
      </c>
      <c r="J34" s="19" t="s">
        <v>69</v>
      </c>
      <c r="K34" s="24"/>
      <c r="L34" s="24"/>
      <c r="M34" s="39"/>
      <c r="N34" s="39"/>
      <c r="O34" s="39"/>
      <c r="P34" s="39"/>
      <c r="Q34" s="39"/>
      <c r="R34" s="39"/>
      <c r="S34" s="39"/>
    </row>
    <row r="35" spans="1:19" ht="15.75" x14ac:dyDescent="0.25">
      <c r="A35" s="14" t="s">
        <v>70</v>
      </c>
      <c r="B35" s="15" t="s">
        <v>71</v>
      </c>
      <c r="C35" s="14" t="s">
        <v>12</v>
      </c>
      <c r="D35" s="27">
        <f>-'[1]R14 Allowed Revenue Summary'!M17</f>
        <v>9.5333295988088729</v>
      </c>
      <c r="E35" s="27">
        <f>-'[1]R14 Allowed Revenue Summary'!N17</f>
        <v>26.877989297739731</v>
      </c>
      <c r="F35" s="27">
        <f>'[3]Correction Factor'!$F$10</f>
        <v>-22.208085568825226</v>
      </c>
      <c r="G35" s="27">
        <f>-F52*1.0225</f>
        <v>44.257613967134894</v>
      </c>
      <c r="H35" s="27">
        <v>0</v>
      </c>
      <c r="I35" s="27">
        <v>0</v>
      </c>
      <c r="J35" s="10"/>
      <c r="K35" s="24"/>
      <c r="L35" s="24"/>
      <c r="M35" s="39"/>
      <c r="N35" s="39"/>
      <c r="O35" s="39"/>
      <c r="P35" s="39"/>
      <c r="Q35" s="39"/>
      <c r="R35" s="39"/>
      <c r="S35" s="39"/>
    </row>
    <row r="36" spans="1:19" ht="15.75" x14ac:dyDescent="0.25">
      <c r="A36" s="16" t="s">
        <v>72</v>
      </c>
      <c r="B36" s="17" t="s">
        <v>73</v>
      </c>
      <c r="C36" s="16" t="s">
        <v>21</v>
      </c>
      <c r="D36" s="28">
        <f t="shared" ref="D36:H36" si="4">D11+D22+D34+D35</f>
        <v>512.71431354024332</v>
      </c>
      <c r="E36" s="28">
        <f t="shared" si="4"/>
        <v>622.38884683800416</v>
      </c>
      <c r="F36" s="28">
        <f t="shared" si="4"/>
        <v>564.0536923975128</v>
      </c>
      <c r="G36" s="28">
        <f t="shared" si="4"/>
        <v>641.58463965315968</v>
      </c>
      <c r="H36" s="28">
        <f t="shared" si="4"/>
        <v>596.79399794523249</v>
      </c>
      <c r="I36" s="28">
        <f t="shared" ref="I36" si="5">I11+I22+I34+I35</f>
        <v>598.78299294006274</v>
      </c>
      <c r="J36" s="18" t="s">
        <v>74</v>
      </c>
      <c r="K36" s="24"/>
      <c r="L36" s="24"/>
      <c r="M36" s="24"/>
      <c r="N36" s="24"/>
      <c r="O36" s="24"/>
    </row>
    <row r="37" spans="1:19" ht="31.5" x14ac:dyDescent="0.25">
      <c r="A37" s="14" t="s">
        <v>75</v>
      </c>
      <c r="B37" s="14" t="s">
        <v>76</v>
      </c>
      <c r="C37" s="14" t="s">
        <v>77</v>
      </c>
      <c r="D37" s="27">
        <v>0</v>
      </c>
      <c r="E37" s="27">
        <v>0</v>
      </c>
      <c r="F37" s="27">
        <v>0</v>
      </c>
      <c r="G37" s="27">
        <v>0</v>
      </c>
      <c r="H37" s="27"/>
      <c r="I37" s="27"/>
      <c r="J37" s="10"/>
      <c r="K37" s="24"/>
      <c r="L37" s="24"/>
      <c r="M37" s="24"/>
      <c r="N37" s="24"/>
      <c r="O37" s="24"/>
    </row>
    <row r="38" spans="1:19" ht="31.5" x14ac:dyDescent="0.25">
      <c r="A38" s="14" t="s">
        <v>78</v>
      </c>
      <c r="B38" s="14" t="s">
        <v>79</v>
      </c>
      <c r="C38" s="14" t="s">
        <v>77</v>
      </c>
      <c r="D38" s="27">
        <v>0</v>
      </c>
      <c r="E38" s="27">
        <v>0</v>
      </c>
      <c r="F38" s="27">
        <v>0</v>
      </c>
      <c r="G38" s="27">
        <v>0</v>
      </c>
      <c r="H38" s="27"/>
      <c r="I38" s="27"/>
      <c r="J38" s="10"/>
      <c r="K38" s="24"/>
      <c r="L38" s="24"/>
      <c r="M38" s="24"/>
      <c r="N38" s="24"/>
      <c r="O38" s="24"/>
    </row>
    <row r="39" spans="1:19" ht="31.5" x14ac:dyDescent="0.25">
      <c r="A39" s="14" t="s">
        <v>80</v>
      </c>
      <c r="B39" s="14" t="s">
        <v>81</v>
      </c>
      <c r="C39" s="14" t="s">
        <v>77</v>
      </c>
      <c r="D39" s="27">
        <v>0</v>
      </c>
      <c r="E39" s="27">
        <v>0</v>
      </c>
      <c r="F39" s="27">
        <v>0</v>
      </c>
      <c r="G39" s="27">
        <v>0</v>
      </c>
      <c r="H39" s="27"/>
      <c r="I39" s="27"/>
      <c r="J39" s="10"/>
      <c r="K39" s="24"/>
      <c r="L39" s="24"/>
      <c r="M39" s="24"/>
      <c r="N39" s="24"/>
      <c r="O39" s="24"/>
    </row>
    <row r="40" spans="1:19" ht="31.5" x14ac:dyDescent="0.25">
      <c r="A40" s="20" t="s">
        <v>82</v>
      </c>
      <c r="B40" s="10"/>
      <c r="C40" s="10"/>
      <c r="D40" s="27">
        <v>0</v>
      </c>
      <c r="E40" s="27">
        <v>0</v>
      </c>
      <c r="F40" s="27">
        <v>0</v>
      </c>
      <c r="G40" s="27">
        <v>0</v>
      </c>
      <c r="H40" s="27"/>
      <c r="I40" s="27"/>
      <c r="J40" s="10"/>
      <c r="K40" s="24"/>
      <c r="L40" s="24"/>
      <c r="M40" s="24"/>
      <c r="N40" s="24"/>
      <c r="O40" s="24"/>
    </row>
    <row r="41" spans="1:19" ht="31.5" x14ac:dyDescent="0.25">
      <c r="A41" s="20" t="s">
        <v>83</v>
      </c>
      <c r="B41" s="10"/>
      <c r="C41" s="10"/>
      <c r="D41" s="27">
        <v>0</v>
      </c>
      <c r="E41" s="27">
        <v>0</v>
      </c>
      <c r="F41" s="27">
        <v>0</v>
      </c>
      <c r="G41" s="27">
        <v>0</v>
      </c>
      <c r="H41" s="27"/>
      <c r="I41" s="27"/>
      <c r="J41" s="10"/>
      <c r="K41" s="24"/>
      <c r="L41" s="24"/>
      <c r="M41" s="24"/>
      <c r="N41" s="24"/>
      <c r="O41" s="24"/>
    </row>
    <row r="42" spans="1:19" ht="47.25" x14ac:dyDescent="0.25">
      <c r="A42" s="19" t="s">
        <v>84</v>
      </c>
      <c r="B42" s="19"/>
      <c r="C42" s="19"/>
      <c r="D42" s="28">
        <f t="shared" ref="D42:H42" si="6">D37+D38+D39+D40+D41</f>
        <v>0</v>
      </c>
      <c r="E42" s="28">
        <f t="shared" si="6"/>
        <v>0</v>
      </c>
      <c r="F42" s="28">
        <f t="shared" si="6"/>
        <v>0</v>
      </c>
      <c r="G42" s="28">
        <f t="shared" si="6"/>
        <v>0</v>
      </c>
      <c r="H42" s="28">
        <f t="shared" si="6"/>
        <v>0</v>
      </c>
      <c r="I42" s="28">
        <f t="shared" ref="I42" si="7">I37+I38+I39+I40+I41</f>
        <v>0</v>
      </c>
      <c r="J42" s="19" t="s">
        <v>85</v>
      </c>
      <c r="K42" s="24"/>
      <c r="L42" s="24"/>
      <c r="M42" s="24"/>
      <c r="N42" s="24"/>
      <c r="O42" s="24"/>
    </row>
    <row r="43" spans="1:19" ht="31.5" x14ac:dyDescent="0.25">
      <c r="A43" s="19" t="s">
        <v>86</v>
      </c>
      <c r="B43" s="19"/>
      <c r="C43" s="19"/>
      <c r="D43" s="57">
        <f t="shared" ref="D43:H43" si="8">D36+D42</f>
        <v>512.71431354024332</v>
      </c>
      <c r="E43" s="28">
        <f t="shared" si="8"/>
        <v>622.38884683800416</v>
      </c>
      <c r="F43" s="28">
        <f t="shared" si="8"/>
        <v>564.0536923975128</v>
      </c>
      <c r="G43" s="28">
        <f t="shared" si="8"/>
        <v>641.58463965315968</v>
      </c>
      <c r="H43" s="28">
        <f t="shared" si="8"/>
        <v>596.79399794523249</v>
      </c>
      <c r="I43" s="28">
        <f t="shared" ref="I43" si="9">I36+I42</f>
        <v>598.78299294006274</v>
      </c>
      <c r="J43" s="18" t="s">
        <v>87</v>
      </c>
      <c r="K43" s="24"/>
      <c r="L43" s="24"/>
      <c r="M43" s="24"/>
      <c r="N43" s="24"/>
      <c r="O43" s="24"/>
    </row>
    <row r="44" spans="1:19" ht="31.5" x14ac:dyDescent="0.25">
      <c r="A44" s="14" t="s">
        <v>88</v>
      </c>
      <c r="B44" s="10"/>
      <c r="C44" s="10"/>
      <c r="D44" s="27">
        <f>'[5]General inputs'!$H$82/1000000</f>
        <v>11.930443024507884</v>
      </c>
      <c r="E44" s="27">
        <f>'[6]General inputs'!$H$82/1000000</f>
        <v>11.116221737114738</v>
      </c>
      <c r="F44" s="27">
        <f>'[7]General inputs'!$H$83/1000000</f>
        <v>11.599766028425858</v>
      </c>
      <c r="G44" s="27">
        <f t="shared" ref="G44" si="10">G43/F43*F44</f>
        <v>13.194190212239064</v>
      </c>
      <c r="H44" s="27">
        <f>H43/G43*G44</f>
        <v>12.273070519064801</v>
      </c>
      <c r="I44" s="27">
        <f>I43/H43*H44</f>
        <v>12.313974207636848</v>
      </c>
      <c r="J44" s="10"/>
      <c r="K44" s="24"/>
      <c r="L44" s="24"/>
      <c r="M44" s="24"/>
      <c r="N44" s="24"/>
      <c r="O44" s="24"/>
    </row>
    <row r="45" spans="1:19" ht="31.5" x14ac:dyDescent="0.25">
      <c r="A45" s="14" t="s">
        <v>89</v>
      </c>
      <c r="B45" s="10"/>
      <c r="C45" s="10"/>
      <c r="D45" s="27">
        <v>0</v>
      </c>
      <c r="E45" s="27">
        <v>0</v>
      </c>
      <c r="F45" s="27">
        <v>0</v>
      </c>
      <c r="G45" s="27">
        <v>0</v>
      </c>
      <c r="H45" s="27"/>
      <c r="I45" s="27"/>
      <c r="J45" s="10"/>
      <c r="K45" s="24"/>
      <c r="L45" s="24"/>
      <c r="M45" s="24"/>
      <c r="N45" s="24"/>
      <c r="O45" s="24"/>
    </row>
    <row r="46" spans="1:19" ht="31.5" x14ac:dyDescent="0.25">
      <c r="A46" s="20" t="s">
        <v>90</v>
      </c>
      <c r="B46" s="10"/>
      <c r="C46" s="10"/>
      <c r="D46" s="27">
        <v>0</v>
      </c>
      <c r="E46" s="27">
        <v>0</v>
      </c>
      <c r="F46" s="27">
        <v>0</v>
      </c>
      <c r="G46" s="27">
        <v>0</v>
      </c>
      <c r="H46" s="27"/>
      <c r="I46" s="27"/>
      <c r="J46" s="10"/>
      <c r="K46" s="24"/>
      <c r="L46" s="24"/>
      <c r="M46" s="24"/>
      <c r="N46" s="24"/>
      <c r="O46" s="24"/>
    </row>
    <row r="47" spans="1:19" ht="15.75" x14ac:dyDescent="0.25">
      <c r="A47" s="20" t="s">
        <v>118</v>
      </c>
      <c r="B47" s="10"/>
      <c r="C47" s="10"/>
      <c r="D47" s="27">
        <v>0</v>
      </c>
      <c r="E47" s="27">
        <v>0</v>
      </c>
      <c r="F47" s="27">
        <v>0</v>
      </c>
      <c r="G47" s="27">
        <v>0</v>
      </c>
      <c r="H47" s="27"/>
      <c r="I47" s="27"/>
      <c r="J47" s="10"/>
      <c r="K47" s="24"/>
      <c r="L47" s="24"/>
      <c r="M47" s="24"/>
      <c r="N47" s="24"/>
      <c r="O47" s="24"/>
    </row>
    <row r="48" spans="1:19" ht="31.5" x14ac:dyDescent="0.25">
      <c r="A48" s="19" t="s">
        <v>91</v>
      </c>
      <c r="B48" s="19"/>
      <c r="C48" s="19"/>
      <c r="D48" s="28">
        <f t="shared" ref="D48:H48" si="11">D44+D45+D46+D47</f>
        <v>11.930443024507884</v>
      </c>
      <c r="E48" s="28">
        <f t="shared" si="11"/>
        <v>11.116221737114738</v>
      </c>
      <c r="F48" s="28">
        <f t="shared" si="11"/>
        <v>11.599766028425858</v>
      </c>
      <c r="G48" s="28">
        <f t="shared" si="11"/>
        <v>13.194190212239064</v>
      </c>
      <c r="H48" s="28">
        <f t="shared" si="11"/>
        <v>12.273070519064801</v>
      </c>
      <c r="I48" s="28">
        <f t="shared" ref="I48" si="12">I44+I45+I46+I47</f>
        <v>12.313974207636848</v>
      </c>
      <c r="J48" s="19" t="s">
        <v>92</v>
      </c>
      <c r="K48" s="24"/>
      <c r="L48" s="24"/>
      <c r="M48" s="24"/>
      <c r="N48" s="24"/>
      <c r="O48" s="24"/>
    </row>
    <row r="49" spans="1:20" ht="31.5" x14ac:dyDescent="0.25">
      <c r="A49" s="19" t="s">
        <v>93</v>
      </c>
      <c r="B49" s="19"/>
      <c r="C49" s="19"/>
      <c r="D49" s="28">
        <f t="shared" ref="D49:H49" si="13">D43-D48</f>
        <v>500.78387051573543</v>
      </c>
      <c r="E49" s="28">
        <f t="shared" si="13"/>
        <v>611.2726251008894</v>
      </c>
      <c r="F49" s="28">
        <f t="shared" si="13"/>
        <v>552.45392636908696</v>
      </c>
      <c r="G49" s="28">
        <f t="shared" si="13"/>
        <v>628.39044944092063</v>
      </c>
      <c r="H49" s="28">
        <f t="shared" si="13"/>
        <v>584.52092742616765</v>
      </c>
      <c r="I49" s="28">
        <f t="shared" ref="I49" si="14">I43-I48</f>
        <v>586.46901873242587</v>
      </c>
      <c r="J49" s="18" t="s">
        <v>94</v>
      </c>
      <c r="K49" s="24"/>
      <c r="L49" s="24"/>
      <c r="M49" s="24"/>
      <c r="N49" s="24"/>
      <c r="O49" s="24"/>
    </row>
    <row r="50" spans="1:20" ht="15.75" x14ac:dyDescent="0.25">
      <c r="A50" s="16" t="s">
        <v>95</v>
      </c>
      <c r="B50" s="19"/>
      <c r="C50" s="19"/>
      <c r="D50" s="29">
        <f>'[5]General inputs'!$H$87/1000000</f>
        <v>502.14379388204895</v>
      </c>
      <c r="E50" s="29">
        <f>'[8]General inputs'!$H$87/1000000</f>
        <v>616.35491601913498</v>
      </c>
      <c r="F50" s="29">
        <f>'[7]General inputs'!$H$88/1000000</f>
        <v>509.21457684500928</v>
      </c>
      <c r="G50" s="29">
        <f t="shared" ref="G50:H50" si="15">G49</f>
        <v>628.39044944092063</v>
      </c>
      <c r="H50" s="29">
        <f t="shared" si="15"/>
        <v>584.52092742616765</v>
      </c>
      <c r="I50" s="29">
        <f t="shared" ref="I50" si="16">I49</f>
        <v>586.46901873242587</v>
      </c>
      <c r="J50" s="19"/>
      <c r="K50" s="24"/>
      <c r="L50" s="24"/>
      <c r="M50" s="24"/>
      <c r="N50" s="24"/>
      <c r="O50" s="24"/>
    </row>
    <row r="51" spans="1:20" ht="15.75" x14ac:dyDescent="0.25">
      <c r="A51" s="14" t="s">
        <v>96</v>
      </c>
      <c r="B51" s="10"/>
      <c r="C51" s="10"/>
      <c r="D51" s="27">
        <f>'[1]R5 Input Page'!M47</f>
        <v>528.85150836999992</v>
      </c>
      <c r="E51" s="27">
        <f>'[1]R5 Input Page'!N47</f>
        <v>627.60327740266723</v>
      </c>
      <c r="F51" s="27">
        <f>'[9]202324'!$N$7</f>
        <v>520.76996235630509</v>
      </c>
      <c r="G51" s="27">
        <f>G43</f>
        <v>641.58463965315968</v>
      </c>
      <c r="H51" s="27">
        <f>H43</f>
        <v>596.79399794523249</v>
      </c>
      <c r="I51" s="27">
        <f>I43</f>
        <v>598.78299294006274</v>
      </c>
      <c r="J51" s="10"/>
      <c r="K51" s="24"/>
      <c r="L51" s="24"/>
      <c r="M51" s="39"/>
      <c r="N51" s="39"/>
      <c r="O51" s="39"/>
      <c r="P51" s="39"/>
      <c r="Q51" s="39"/>
      <c r="R51" s="39"/>
      <c r="S51" s="39"/>
      <c r="T51" s="39"/>
    </row>
    <row r="52" spans="1:20" ht="31.5" x14ac:dyDescent="0.25">
      <c r="A52" s="14" t="s">
        <v>97</v>
      </c>
      <c r="B52" s="10"/>
      <c r="C52" s="10"/>
      <c r="D52" s="30">
        <f t="shared" ref="D52:H52" si="17">D51-D42-D36+D45</f>
        <v>16.137194829756595</v>
      </c>
      <c r="E52" s="30">
        <f>E51-E42-E36+E45</f>
        <v>5.2144305646630755</v>
      </c>
      <c r="F52" s="30">
        <f t="shared" si="17"/>
        <v>-43.283730041207718</v>
      </c>
      <c r="G52" s="30">
        <f t="shared" si="17"/>
        <v>0</v>
      </c>
      <c r="H52" s="30">
        <f t="shared" si="17"/>
        <v>0</v>
      </c>
      <c r="I52" s="30">
        <f t="shared" ref="I52" si="18">I51-I42-I36+I45</f>
        <v>0</v>
      </c>
      <c r="J52" s="14" t="s">
        <v>98</v>
      </c>
      <c r="K52" s="24"/>
      <c r="L52" s="24"/>
      <c r="M52" s="24"/>
      <c r="N52" s="24"/>
      <c r="O52" s="24"/>
    </row>
    <row r="53" spans="1:20" ht="31.5" x14ac:dyDescent="0.25">
      <c r="A53" s="14" t="s">
        <v>99</v>
      </c>
      <c r="B53" s="10"/>
      <c r="C53" s="10"/>
      <c r="D53" s="33"/>
      <c r="E53" s="33">
        <f t="shared" ref="E53:I53" si="19">E36/D36-1</f>
        <v>0.21390963817738706</v>
      </c>
      <c r="F53" s="33">
        <f t="shared" si="19"/>
        <v>-9.3727827445588607E-2</v>
      </c>
      <c r="G53" s="33">
        <f t="shared" si="19"/>
        <v>0.13745313309820073</v>
      </c>
      <c r="H53" s="33">
        <f t="shared" si="19"/>
        <v>-6.9812521902240299E-2</v>
      </c>
      <c r="I53" s="33">
        <f t="shared" si="19"/>
        <v>3.3327999304255673E-3</v>
      </c>
      <c r="J53" s="10"/>
      <c r="K53" s="24"/>
      <c r="L53" s="24"/>
      <c r="M53" s="24"/>
      <c r="N53" s="24"/>
      <c r="O53" s="24"/>
    </row>
    <row r="54" spans="1:20" ht="31.5" x14ac:dyDescent="0.25">
      <c r="A54" s="14" t="s">
        <v>100</v>
      </c>
      <c r="B54" s="10"/>
      <c r="C54" s="10"/>
      <c r="D54" s="34"/>
      <c r="E54" s="34">
        <f t="shared" ref="E54:I54" si="20">E51/D51-1</f>
        <v>0.18672872719420841</v>
      </c>
      <c r="F54" s="34">
        <f t="shared" si="20"/>
        <v>-0.17022427844623633</v>
      </c>
      <c r="G54" s="34">
        <f t="shared" si="20"/>
        <v>0.23199240745416594</v>
      </c>
      <c r="H54" s="34">
        <f t="shared" si="20"/>
        <v>-6.9812521902240299E-2</v>
      </c>
      <c r="I54" s="34">
        <f t="shared" si="20"/>
        <v>3.3327999304255673E-3</v>
      </c>
      <c r="J54" s="10"/>
      <c r="K54" s="24"/>
      <c r="L54" s="24"/>
      <c r="M54" s="24"/>
      <c r="N54" s="24"/>
      <c r="O54" s="24"/>
    </row>
    <row r="55" spans="1:20" ht="63" x14ac:dyDescent="0.25">
      <c r="A55" s="7" t="s">
        <v>101</v>
      </c>
      <c r="B55" s="7"/>
      <c r="C55" s="7"/>
      <c r="D55" s="7"/>
      <c r="E55" s="7"/>
      <c r="F55" s="7"/>
      <c r="G55" s="7"/>
      <c r="H55" s="7"/>
      <c r="I55" s="7"/>
      <c r="J55" s="7"/>
    </row>
    <row r="58" spans="1:20" x14ac:dyDescent="0.25">
      <c r="D58" s="36">
        <f>D43-'[1]R14 Allowed Revenue Summary'!M$18</f>
        <v>0</v>
      </c>
      <c r="E58" s="36">
        <f>E43-'[1]R14 Allowed Revenue Summary'!N$18</f>
        <v>0</v>
      </c>
      <c r="F58" s="36"/>
      <c r="G58" s="36"/>
      <c r="H58" s="36"/>
      <c r="I58" s="36"/>
    </row>
    <row r="60" spans="1:20" x14ac:dyDescent="0.25">
      <c r="D60" s="38"/>
      <c r="E60" s="38"/>
      <c r="F60" s="38"/>
      <c r="G60" s="37"/>
      <c r="H60" s="37"/>
      <c r="I60" s="37"/>
    </row>
    <row r="61" spans="1:20" x14ac:dyDescent="0.25">
      <c r="G61" s="37"/>
      <c r="H61" s="37"/>
      <c r="I61" s="37"/>
    </row>
    <row r="62" spans="1:20" x14ac:dyDescent="0.25">
      <c r="D62" s="38"/>
      <c r="E62" s="38"/>
      <c r="F62" s="38"/>
      <c r="G62" s="37"/>
      <c r="H62" s="37"/>
      <c r="I62" s="37"/>
    </row>
    <row r="63" spans="1:20" x14ac:dyDescent="0.25">
      <c r="D63" s="38"/>
      <c r="E63" s="38"/>
      <c r="F63" s="38"/>
      <c r="G63" s="37"/>
      <c r="H63" s="37"/>
      <c r="I63" s="37"/>
    </row>
    <row r="64" spans="1:20" x14ac:dyDescent="0.25">
      <c r="D64" s="38"/>
      <c r="E64" s="38"/>
      <c r="F64" s="38"/>
      <c r="G64" s="37"/>
      <c r="H64" s="37"/>
      <c r="I64" s="37"/>
    </row>
    <row r="65" spans="4:9" x14ac:dyDescent="0.25">
      <c r="D65" s="38"/>
      <c r="E65" s="38"/>
      <c r="F65" s="38"/>
      <c r="G65" s="37"/>
      <c r="H65" s="37"/>
      <c r="I65" s="37"/>
    </row>
    <row r="66" spans="4:9" x14ac:dyDescent="0.25">
      <c r="D66" s="38"/>
      <c r="E66" s="38"/>
      <c r="F66" s="38"/>
      <c r="G66" s="37"/>
      <c r="H66" s="37"/>
      <c r="I66" s="37"/>
    </row>
    <row r="67" spans="4:9" x14ac:dyDescent="0.25">
      <c r="D67" s="38"/>
      <c r="E67" s="38"/>
      <c r="F67" s="38"/>
      <c r="G67" s="37"/>
      <c r="H67" s="37"/>
      <c r="I67" s="37"/>
    </row>
    <row r="68" spans="4:9" x14ac:dyDescent="0.25">
      <c r="D68" s="38"/>
      <c r="E68" s="38"/>
      <c r="F68" s="38"/>
    </row>
    <row r="69" spans="4:9" x14ac:dyDescent="0.25">
      <c r="D69" s="38"/>
      <c r="E69" s="38"/>
      <c r="F69" s="38"/>
    </row>
    <row r="70" spans="4:9" x14ac:dyDescent="0.25">
      <c r="D70" s="38"/>
      <c r="E70" s="38"/>
      <c r="F70" s="38"/>
    </row>
    <row r="71" spans="4:9" x14ac:dyDescent="0.25">
      <c r="D71" s="38"/>
      <c r="E71" s="38"/>
      <c r="F71" s="38"/>
    </row>
    <row r="72" spans="4:9" x14ac:dyDescent="0.25">
      <c r="D72" s="38"/>
      <c r="E72" s="38"/>
      <c r="F72" s="38"/>
    </row>
    <row r="73" spans="4:9" x14ac:dyDescent="0.25">
      <c r="D73" s="38"/>
      <c r="E73" s="38"/>
      <c r="F73" s="38"/>
    </row>
    <row r="74" spans="4:9" x14ac:dyDescent="0.25">
      <c r="D74" s="38"/>
      <c r="E74" s="38"/>
      <c r="F74" s="38"/>
    </row>
    <row r="75" spans="4:9" x14ac:dyDescent="0.25">
      <c r="D75" s="38"/>
      <c r="E75" s="38"/>
      <c r="F75" s="38"/>
    </row>
    <row r="76" spans="4:9" x14ac:dyDescent="0.25">
      <c r="D76" s="38"/>
      <c r="E76" s="38"/>
      <c r="F76" s="38"/>
    </row>
    <row r="77" spans="4:9" x14ac:dyDescent="0.25">
      <c r="D77" s="38"/>
      <c r="E77" s="38"/>
      <c r="F77" s="38"/>
    </row>
    <row r="78" spans="4:9" x14ac:dyDescent="0.25">
      <c r="D78" s="38"/>
      <c r="E78" s="38"/>
      <c r="F78" s="38"/>
    </row>
    <row r="79" spans="4:9" x14ac:dyDescent="0.25">
      <c r="D79" s="38"/>
      <c r="E79" s="38"/>
      <c r="F79" s="38"/>
    </row>
    <row r="80" spans="4:9" x14ac:dyDescent="0.25">
      <c r="D80" s="38"/>
      <c r="E80" s="38"/>
      <c r="F80" s="38"/>
    </row>
    <row r="81" spans="4:6" x14ac:dyDescent="0.25">
      <c r="D81" s="38"/>
      <c r="E81" s="38"/>
      <c r="F81" s="38"/>
    </row>
    <row r="82" spans="4:6" x14ac:dyDescent="0.25">
      <c r="D82" s="38"/>
      <c r="E82" s="38"/>
      <c r="F82" s="38"/>
    </row>
    <row r="83" spans="4:6" x14ac:dyDescent="0.25">
      <c r="D83" s="38"/>
      <c r="E83" s="38"/>
      <c r="F83" s="38"/>
    </row>
    <row r="84" spans="4:6" x14ac:dyDescent="0.25">
      <c r="D84" s="38"/>
      <c r="E84" s="38"/>
      <c r="F84" s="38"/>
    </row>
    <row r="85" spans="4:6" x14ac:dyDescent="0.25">
      <c r="D85" s="38"/>
      <c r="E85" s="38"/>
      <c r="F85" s="38"/>
    </row>
    <row r="86" spans="4:6" x14ac:dyDescent="0.25">
      <c r="D86" s="38"/>
      <c r="E86" s="38"/>
      <c r="F86" s="38"/>
    </row>
    <row r="87" spans="4:6" x14ac:dyDescent="0.25">
      <c r="D87" s="38"/>
      <c r="E87" s="38"/>
      <c r="F87" s="38"/>
    </row>
    <row r="88" spans="4:6" x14ac:dyDescent="0.25">
      <c r="D88" s="38"/>
      <c r="E88" s="38"/>
      <c r="F88" s="38"/>
    </row>
    <row r="89" spans="4:6" x14ac:dyDescent="0.25">
      <c r="D89" s="38"/>
      <c r="E89" s="38"/>
      <c r="F89" s="38"/>
    </row>
    <row r="90" spans="4:6" x14ac:dyDescent="0.25">
      <c r="D90" s="38"/>
      <c r="E90" s="38"/>
      <c r="F90" s="38"/>
    </row>
    <row r="91" spans="4:6" x14ac:dyDescent="0.25">
      <c r="D91" s="38"/>
      <c r="E91" s="38"/>
      <c r="F91" s="38"/>
    </row>
    <row r="92" spans="4:6" x14ac:dyDescent="0.25">
      <c r="D92" s="38"/>
      <c r="E92" s="38"/>
      <c r="F92" s="38"/>
    </row>
    <row r="93" spans="4:6" x14ac:dyDescent="0.25">
      <c r="D93" s="38"/>
      <c r="E93" s="38"/>
      <c r="F93" s="38"/>
    </row>
    <row r="94" spans="4:6" x14ac:dyDescent="0.25">
      <c r="D94" s="38"/>
      <c r="E94" s="38"/>
      <c r="F94" s="38"/>
    </row>
    <row r="95" spans="4:6" x14ac:dyDescent="0.25">
      <c r="D95" s="38"/>
      <c r="E95" s="38"/>
      <c r="F95" s="38"/>
    </row>
    <row r="96" spans="4:6" x14ac:dyDescent="0.25">
      <c r="D96" s="38"/>
      <c r="E96" s="38"/>
      <c r="F96" s="38"/>
    </row>
    <row r="97" spans="4:6" x14ac:dyDescent="0.25">
      <c r="D97" s="38"/>
      <c r="E97" s="38"/>
      <c r="F97" s="38"/>
    </row>
    <row r="98" spans="4:6" x14ac:dyDescent="0.25">
      <c r="D98" s="38"/>
      <c r="E98" s="38"/>
      <c r="F98" s="38"/>
    </row>
    <row r="99" spans="4:6" x14ac:dyDescent="0.25">
      <c r="D99" s="38"/>
      <c r="E99" s="38"/>
      <c r="F99" s="38"/>
    </row>
    <row r="100" spans="4:6" x14ac:dyDescent="0.25">
      <c r="D100" s="38"/>
      <c r="E100" s="38"/>
      <c r="F100" s="38"/>
    </row>
    <row r="101" spans="4:6" x14ac:dyDescent="0.25">
      <c r="D101" s="38"/>
      <c r="E101" s="38"/>
      <c r="F101" s="38"/>
    </row>
    <row r="102" spans="4:6" x14ac:dyDescent="0.25">
      <c r="D102" s="38"/>
      <c r="E102" s="38"/>
      <c r="F102" s="38"/>
    </row>
    <row r="103" spans="4:6" x14ac:dyDescent="0.25">
      <c r="D103" s="38"/>
      <c r="E103" s="38"/>
      <c r="F103" s="38"/>
    </row>
    <row r="104" spans="4:6" x14ac:dyDescent="0.25">
      <c r="D104" s="38"/>
      <c r="E104" s="38"/>
      <c r="F104" s="38"/>
    </row>
    <row r="105" spans="4:6" x14ac:dyDescent="0.25">
      <c r="D105" s="38"/>
      <c r="E105" s="38"/>
      <c r="F105" s="38"/>
    </row>
    <row r="106" spans="4:6" x14ac:dyDescent="0.25">
      <c r="D106" s="38"/>
      <c r="E106" s="38"/>
      <c r="F106" s="38"/>
    </row>
    <row r="107" spans="4:6" x14ac:dyDescent="0.25">
      <c r="D107" s="38"/>
      <c r="E107" s="38"/>
      <c r="F107" s="38"/>
    </row>
    <row r="108" spans="4:6" x14ac:dyDescent="0.25">
      <c r="D108" s="38"/>
      <c r="E108" s="38"/>
      <c r="F108" s="38"/>
    </row>
    <row r="109" spans="4:6" x14ac:dyDescent="0.25">
      <c r="D109" s="38"/>
      <c r="E109" s="38"/>
      <c r="F109" s="38"/>
    </row>
    <row r="110" spans="4:6" x14ac:dyDescent="0.25">
      <c r="D110" s="38"/>
      <c r="E110" s="38"/>
      <c r="F110" s="38"/>
    </row>
    <row r="111" spans="4:6" x14ac:dyDescent="0.25">
      <c r="D111" s="38"/>
      <c r="E111" s="38"/>
      <c r="F111" s="38"/>
    </row>
    <row r="112" spans="4:6" x14ac:dyDescent="0.25">
      <c r="D112" s="38"/>
      <c r="E112" s="38"/>
      <c r="F112" s="38"/>
    </row>
  </sheetData>
  <mergeCells count="2">
    <mergeCell ref="A29:A30"/>
    <mergeCell ref="A32:A33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="75" zoomScaleNormal="75" workbookViewId="0">
      <selection activeCell="A22" sqref="A22:J27"/>
    </sheetView>
  </sheetViews>
  <sheetFormatPr defaultColWidth="9.140625" defaultRowHeight="15" x14ac:dyDescent="0.25"/>
  <cols>
    <col min="1" max="1" width="48.7109375" style="21" customWidth="1"/>
    <col min="2" max="2" width="10.42578125" style="21" customWidth="1"/>
    <col min="3" max="4" width="9.140625" style="21"/>
    <col min="5" max="5" width="10" style="21" bestFit="1" customWidth="1"/>
    <col min="6" max="7" width="9.140625" style="21"/>
    <col min="8" max="8" width="10.28515625" style="21" customWidth="1"/>
    <col min="9" max="16" width="9.140625" style="21"/>
    <col min="17" max="17" width="13.85546875" style="21" bestFit="1" customWidth="1"/>
    <col min="18" max="18" width="14.42578125" style="21" bestFit="1" customWidth="1"/>
    <col min="19" max="16384" width="9.140625" style="21"/>
  </cols>
  <sheetData>
    <row r="1" spans="1:18" ht="15.75" x14ac:dyDescent="0.25">
      <c r="A1" s="1" t="s">
        <v>103</v>
      </c>
      <c r="B1" s="2" t="str">
        <f>Table1!B1</f>
        <v>WPD East Midlands</v>
      </c>
      <c r="C1" s="2"/>
      <c r="D1" s="2"/>
      <c r="E1" s="2"/>
      <c r="F1" s="2"/>
      <c r="G1" s="2"/>
      <c r="H1" s="2"/>
      <c r="I1" s="2"/>
      <c r="J1" s="2"/>
    </row>
    <row r="2" spans="1:18" ht="15.75" x14ac:dyDescent="0.25">
      <c r="A2" s="1" t="s">
        <v>104</v>
      </c>
      <c r="B2" s="31">
        <f>Table1!B2</f>
        <v>44682</v>
      </c>
      <c r="C2" s="2"/>
      <c r="D2" s="2"/>
      <c r="E2" s="2"/>
      <c r="F2" s="2"/>
      <c r="G2" s="2"/>
      <c r="H2" s="2"/>
      <c r="I2" s="2"/>
      <c r="J2" s="2"/>
    </row>
    <row r="3" spans="1:18" ht="15.75" x14ac:dyDescent="0.25">
      <c r="A3" s="1" t="s">
        <v>105</v>
      </c>
      <c r="B3" s="2"/>
      <c r="C3" s="2"/>
      <c r="D3" s="2"/>
      <c r="E3" s="2"/>
      <c r="F3" s="2"/>
      <c r="G3" s="2"/>
      <c r="H3" s="2"/>
      <c r="I3" s="2"/>
      <c r="J3" s="2"/>
    </row>
    <row r="4" spans="1:18" ht="15.75" x14ac:dyDescent="0.25">
      <c r="A4" s="40" t="s">
        <v>126</v>
      </c>
      <c r="B4" s="41" t="s">
        <v>123</v>
      </c>
      <c r="C4" s="42"/>
      <c r="D4" s="42"/>
      <c r="E4" s="41" t="s">
        <v>144</v>
      </c>
      <c r="F4" s="43"/>
      <c r="G4" s="44"/>
      <c r="H4" s="41" t="s">
        <v>155</v>
      </c>
      <c r="I4" s="45"/>
      <c r="J4" s="46"/>
    </row>
    <row r="5" spans="1:18" ht="15.75" customHeight="1" x14ac:dyDescent="0.25">
      <c r="A5" s="40" t="s">
        <v>127</v>
      </c>
      <c r="B5" s="77" t="s">
        <v>128</v>
      </c>
      <c r="C5" s="78"/>
      <c r="D5" s="79"/>
      <c r="E5" s="77" t="s">
        <v>129</v>
      </c>
      <c r="F5" s="78"/>
      <c r="G5" s="79"/>
      <c r="H5" s="80" t="s">
        <v>130</v>
      </c>
      <c r="I5" s="81"/>
      <c r="J5" s="82"/>
    </row>
    <row r="6" spans="1:18" ht="15.75" x14ac:dyDescent="0.25">
      <c r="A6" s="40" t="s">
        <v>131</v>
      </c>
      <c r="B6" s="64" t="s">
        <v>132</v>
      </c>
      <c r="C6" s="64" t="s">
        <v>133</v>
      </c>
      <c r="D6" s="64" t="s">
        <v>134</v>
      </c>
      <c r="E6" s="64" t="s">
        <v>132</v>
      </c>
      <c r="F6" s="64" t="s">
        <v>133</v>
      </c>
      <c r="G6" s="47" t="s">
        <v>134</v>
      </c>
      <c r="H6" s="48" t="s">
        <v>132</v>
      </c>
      <c r="I6" s="48" t="s">
        <v>133</v>
      </c>
      <c r="J6" s="48" t="s">
        <v>134</v>
      </c>
    </row>
    <row r="7" spans="1:18" ht="15.75" x14ac:dyDescent="0.25">
      <c r="A7" s="49" t="s">
        <v>135</v>
      </c>
      <c r="B7" s="51">
        <f>-Table1!E43*0.01+C7</f>
        <v>-1.0094579037169664</v>
      </c>
      <c r="C7" s="51">
        <f>Table1!E52</f>
        <v>5.2144305646630755</v>
      </c>
      <c r="D7" s="51">
        <f>Table1!E43*0.01+C7</f>
        <v>11.438319033043118</v>
      </c>
      <c r="E7" s="51">
        <f>-Table1!F43*0.01+F7</f>
        <v>-48.924266965182845</v>
      </c>
      <c r="F7" s="51">
        <f>Table1!F52</f>
        <v>-43.283730041207718</v>
      </c>
      <c r="G7" s="51">
        <f>Table1!F43*0.01+F7</f>
        <v>-37.643193117232592</v>
      </c>
      <c r="H7" s="52"/>
      <c r="I7" s="52"/>
      <c r="J7" s="52"/>
    </row>
    <row r="8" spans="1:18" ht="15.75" x14ac:dyDescent="0.25">
      <c r="A8" s="49" t="s">
        <v>136</v>
      </c>
      <c r="B8" s="53"/>
      <c r="C8" s="53"/>
      <c r="D8" s="53"/>
      <c r="E8" s="54">
        <f>F8-Table1!F9*0.02</f>
        <v>13.289080519517555</v>
      </c>
      <c r="F8" s="54">
        <f>Table1!F9</f>
        <v>13.560286244405669</v>
      </c>
      <c r="G8" s="54">
        <f>F8+Table1!F9*0.02</f>
        <v>13.831491969293783</v>
      </c>
      <c r="H8" s="54">
        <f>I8-Table1!G9*0.02</f>
        <v>27.758284716682272</v>
      </c>
      <c r="I8" s="54">
        <f>Table1!G9</f>
        <v>28.324780323145177</v>
      </c>
      <c r="J8" s="54">
        <f>I8+Table1!G9*0.02</f>
        <v>28.891275929608081</v>
      </c>
      <c r="Q8" s="70"/>
      <c r="R8" s="71"/>
    </row>
    <row r="9" spans="1:18" ht="15.75" x14ac:dyDescent="0.25">
      <c r="A9" s="49" t="s">
        <v>137</v>
      </c>
      <c r="B9" s="53"/>
      <c r="C9" s="53"/>
      <c r="D9" s="53"/>
      <c r="E9" s="54">
        <f>MIN(Table1!D8:F8)</f>
        <v>-37.92263020416852</v>
      </c>
      <c r="F9" s="54">
        <f>Table1!F8</f>
        <v>1.4919533719447264</v>
      </c>
      <c r="G9" s="54">
        <f>MAX(Table1!D8:F8)</f>
        <v>1.4919533719447264</v>
      </c>
      <c r="H9" s="54">
        <f>E9</f>
        <v>-37.92263020416852</v>
      </c>
      <c r="I9" s="54">
        <f>Table1!G8</f>
        <v>-0.58710082336638258</v>
      </c>
      <c r="J9" s="54">
        <v>0</v>
      </c>
      <c r="Q9" s="70"/>
      <c r="R9" s="71"/>
    </row>
    <row r="10" spans="1:18" ht="15.75" x14ac:dyDescent="0.25">
      <c r="A10" s="49" t="s">
        <v>185</v>
      </c>
      <c r="B10" s="53"/>
      <c r="C10" s="53"/>
      <c r="D10" s="53"/>
      <c r="E10" s="54">
        <f>F10</f>
        <v>1.2203246561339245</v>
      </c>
      <c r="F10" s="54">
        <f>Table1!F18</f>
        <v>1.2203246561339245</v>
      </c>
      <c r="G10" s="54">
        <f>[10]Table2!$J$10</f>
        <v>24.445183</v>
      </c>
      <c r="H10" s="54">
        <f>I10</f>
        <v>1.8684058071910286</v>
      </c>
      <c r="I10" s="54">
        <f>Table1!G18</f>
        <v>1.8684058071910286</v>
      </c>
      <c r="J10" s="54">
        <f>I10</f>
        <v>1.8684058071910286</v>
      </c>
      <c r="Q10" s="70"/>
      <c r="R10" s="71"/>
    </row>
    <row r="11" spans="1:18" ht="15.75" x14ac:dyDescent="0.25">
      <c r="A11" s="49" t="s">
        <v>138</v>
      </c>
      <c r="B11" s="53"/>
      <c r="C11" s="53"/>
      <c r="D11" s="53"/>
      <c r="E11" s="54">
        <f>F11</f>
        <v>5.7736132965498443</v>
      </c>
      <c r="F11" s="54">
        <f>Table1!F23</f>
        <v>5.7736132965498443</v>
      </c>
      <c r="G11" s="54">
        <f>F11</f>
        <v>5.7736132965498443</v>
      </c>
      <c r="H11" s="54">
        <f>MIN(Table1!D23:G23)</f>
        <v>5.3929280882803718</v>
      </c>
      <c r="I11" s="54">
        <f>Table1!G23</f>
        <v>6.3697975116651335</v>
      </c>
      <c r="J11" s="54">
        <f>MAX(Table1!D23:G23)</f>
        <v>6.3697975116651335</v>
      </c>
      <c r="Q11" s="70"/>
      <c r="R11" s="71"/>
    </row>
    <row r="12" spans="1:18" ht="15.75" x14ac:dyDescent="0.25">
      <c r="A12" s="49" t="s">
        <v>139</v>
      </c>
      <c r="B12" s="53"/>
      <c r="C12" s="53"/>
      <c r="D12" s="53"/>
      <c r="E12" s="54">
        <f>F12</f>
        <v>24.962757452198858</v>
      </c>
      <c r="F12" s="54">
        <f>Table1!F24</f>
        <v>24.962757452198858</v>
      </c>
      <c r="G12" s="54">
        <f>F12</f>
        <v>24.962757452198858</v>
      </c>
      <c r="H12" s="54">
        <f>MIN(Table1!D24:G24)</f>
        <v>21.210069918730305</v>
      </c>
      <c r="I12" s="54">
        <f>Table1!G24</f>
        <v>23.455501838688381</v>
      </c>
      <c r="J12" s="54">
        <f>MAX(Table1!D24:G24)</f>
        <v>24.962757452198858</v>
      </c>
    </row>
    <row r="13" spans="1:18" ht="15.75" x14ac:dyDescent="0.25">
      <c r="A13" s="49" t="s">
        <v>140</v>
      </c>
      <c r="B13" s="53"/>
      <c r="C13" s="53"/>
      <c r="D13" s="53"/>
      <c r="E13" s="54">
        <f t="shared" ref="E13" si="0">F13</f>
        <v>0</v>
      </c>
      <c r="F13" s="54">
        <f>Table1!F25</f>
        <v>0</v>
      </c>
      <c r="G13" s="54">
        <f t="shared" ref="G13" si="1">F13</f>
        <v>0</v>
      </c>
      <c r="H13" s="54">
        <f>I13</f>
        <v>0</v>
      </c>
      <c r="I13" s="54">
        <f>Table1!G25</f>
        <v>0</v>
      </c>
      <c r="J13" s="54">
        <f>I13</f>
        <v>0</v>
      </c>
    </row>
    <row r="14" spans="1:18" ht="15.75" x14ac:dyDescent="0.25">
      <c r="A14" s="49" t="s">
        <v>141</v>
      </c>
      <c r="B14" s="53"/>
      <c r="C14" s="53"/>
      <c r="D14" s="53"/>
      <c r="E14" s="54">
        <f>F14</f>
        <v>1.6786498120284858</v>
      </c>
      <c r="F14" s="54">
        <f>Table1!F26</f>
        <v>1.6786498120284858</v>
      </c>
      <c r="G14" s="54">
        <f>F14</f>
        <v>1.6786498120284858</v>
      </c>
      <c r="H14" s="54">
        <f>MIN(Table1!D26:G26)</f>
        <v>1.6180787977947133</v>
      </c>
      <c r="I14" s="54">
        <f>Table1!G26</f>
        <v>1.9888155576185289</v>
      </c>
      <c r="J14" s="54">
        <f>MAX(Table1!D26:G26)</f>
        <v>1.9888155576185289</v>
      </c>
    </row>
    <row r="15" spans="1:18" ht="15.75" x14ac:dyDescent="0.25">
      <c r="A15" s="49" t="s">
        <v>142</v>
      </c>
      <c r="B15" s="53"/>
      <c r="C15" s="53"/>
      <c r="D15" s="53"/>
      <c r="E15" s="54">
        <f>MIN(Table1!D30:E30)</f>
        <v>-0.29018629000000001</v>
      </c>
      <c r="F15" s="54">
        <f>Table1!F30</f>
        <v>0</v>
      </c>
      <c r="G15" s="54">
        <v>0</v>
      </c>
      <c r="H15" s="54">
        <f>MIN(Table1!D30:G30)</f>
        <v>-0.29018629000000001</v>
      </c>
      <c r="I15" s="54">
        <f>Table1!G30</f>
        <v>0</v>
      </c>
      <c r="J15" s="54">
        <v>0</v>
      </c>
    </row>
    <row r="16" spans="1:18" ht="15.75" x14ac:dyDescent="0.25">
      <c r="A16" s="49" t="s">
        <v>119</v>
      </c>
      <c r="B16" s="53"/>
      <c r="C16" s="53"/>
      <c r="D16" s="53"/>
      <c r="E16" s="54">
        <v>0</v>
      </c>
      <c r="F16" s="54">
        <f>Table1!F28</f>
        <v>0</v>
      </c>
      <c r="G16" s="54">
        <f>Table1!E11*0.005</f>
        <v>2.5673304227263025</v>
      </c>
      <c r="H16" s="54">
        <f>MIN(Table1!D28:F28)</f>
        <v>0</v>
      </c>
      <c r="I16" s="54">
        <f>Table1!G28</f>
        <v>0</v>
      </c>
      <c r="J16" s="54">
        <f>Table1!G11*0.005</f>
        <v>3.0874623531813716</v>
      </c>
    </row>
    <row r="17" spans="1:10" ht="15.75" x14ac:dyDescent="0.25">
      <c r="A17" s="49" t="s">
        <v>210</v>
      </c>
      <c r="B17" s="53"/>
      <c r="C17" s="53"/>
      <c r="D17" s="53"/>
      <c r="E17" s="54">
        <v>0</v>
      </c>
      <c r="F17" s="54">
        <v>0</v>
      </c>
      <c r="G17" s="54">
        <v>104.37688</v>
      </c>
      <c r="H17" s="54">
        <v>0</v>
      </c>
      <c r="I17" s="54">
        <v>0</v>
      </c>
      <c r="J17" s="54">
        <f>G17</f>
        <v>104.37688</v>
      </c>
    </row>
    <row r="18" spans="1:10" ht="15.75" x14ac:dyDescent="0.25">
      <c r="A18" s="49" t="s">
        <v>153</v>
      </c>
      <c r="B18" s="53"/>
      <c r="C18" s="53"/>
      <c r="D18" s="53"/>
      <c r="E18" s="54">
        <f>-SUM(F8:F17)+SUM(E8:E17)+F18-D7+C7</f>
        <v>517.85382833813139</v>
      </c>
      <c r="F18" s="54">
        <f>Table1!F43</f>
        <v>564.0536923975128</v>
      </c>
      <c r="G18" s="54">
        <f>-SUM(F8:F17)+SUM(G8:G17)+F18+C7-B7</f>
        <v>700.71785535737342</v>
      </c>
      <c r="H18" s="54">
        <f>-SUM(I8:I17)+SUM(H8:H17)+I18-G7+F7</f>
        <v>594.15885334875293</v>
      </c>
      <c r="I18" s="54">
        <f>Table1!G43</f>
        <v>641.58463965315968</v>
      </c>
      <c r="J18" s="54">
        <f>-SUM(I8:I17)+SUM(J8:J17)+I18+F7-E7</f>
        <v>757.35037097365591</v>
      </c>
    </row>
    <row r="19" spans="1:10" ht="15.75" x14ac:dyDescent="0.25">
      <c r="A19" s="49" t="s">
        <v>143</v>
      </c>
      <c r="B19" s="53"/>
      <c r="C19" s="53"/>
      <c r="D19" s="53"/>
      <c r="E19" s="54">
        <f>F19*0.97</f>
        <v>505.14686348561594</v>
      </c>
      <c r="F19" s="54">
        <f>Table1!F51</f>
        <v>520.76996235630509</v>
      </c>
      <c r="G19" s="54">
        <f>F19*1.03</f>
        <v>536.39306122699429</v>
      </c>
      <c r="H19" s="54">
        <f>H18*0.97</f>
        <v>576.33408774829036</v>
      </c>
      <c r="I19" s="54">
        <f>Table1!G51</f>
        <v>641.58463965315968</v>
      </c>
      <c r="J19" s="54">
        <f>J18*1.03</f>
        <v>780.07088210286565</v>
      </c>
    </row>
    <row r="21" spans="1:10" ht="15.75" x14ac:dyDescent="0.25">
      <c r="A21" s="68"/>
    </row>
    <row r="22" spans="1:10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30" spans="1:10" x14ac:dyDescent="0.25">
      <c r="E30" s="72"/>
      <c r="G30" s="72"/>
    </row>
  </sheetData>
  <mergeCells count="4">
    <mergeCell ref="B5:D5"/>
    <mergeCell ref="E5:G5"/>
    <mergeCell ref="H5:J5"/>
    <mergeCell ref="A22:J2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&amp;L&amp;Z&amp;F&amp;A&amp;R&amp;D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75" zoomScaleNormal="75" workbookViewId="0">
      <selection activeCell="I17" sqref="I17"/>
    </sheetView>
  </sheetViews>
  <sheetFormatPr defaultRowHeight="15" x14ac:dyDescent="0.25"/>
  <cols>
    <col min="1" max="1" width="49.28515625" customWidth="1"/>
    <col min="2" max="2" width="5.28515625" bestFit="1" customWidth="1"/>
    <col min="3" max="7" width="19.42578125" customWidth="1"/>
    <col min="8" max="8" width="21.85546875" customWidth="1"/>
    <col min="9" max="9" width="19.42578125" customWidth="1"/>
    <col min="10" max="11" width="2.7109375" customWidth="1"/>
  </cols>
  <sheetData>
    <row r="1" spans="1:9" ht="15.75" x14ac:dyDescent="0.25">
      <c r="A1" s="1" t="s">
        <v>103</v>
      </c>
      <c r="B1" s="2"/>
      <c r="C1" s="2" t="str">
        <f>Table1!B1</f>
        <v>WPD East Midlands</v>
      </c>
      <c r="D1" s="2"/>
      <c r="E1" s="2"/>
      <c r="F1" s="2"/>
      <c r="G1" s="2"/>
      <c r="I1" s="2"/>
    </row>
    <row r="2" spans="1:9" ht="15.75" x14ac:dyDescent="0.25">
      <c r="A2" s="1" t="s">
        <v>104</v>
      </c>
      <c r="B2" s="2"/>
      <c r="C2" s="31">
        <f>Table1!B2</f>
        <v>44682</v>
      </c>
      <c r="D2" s="2"/>
      <c r="E2" s="2"/>
      <c r="F2" s="2"/>
      <c r="G2" s="2"/>
      <c r="I2" s="2"/>
    </row>
    <row r="3" spans="1:9" ht="15.75" x14ac:dyDescent="0.25">
      <c r="A3" s="1" t="s">
        <v>106</v>
      </c>
      <c r="B3" s="2"/>
      <c r="C3" s="2"/>
      <c r="D3" s="2"/>
      <c r="E3" s="2"/>
      <c r="F3" s="2"/>
      <c r="G3" s="2"/>
      <c r="I3" s="2"/>
    </row>
    <row r="4" spans="1:9" ht="15.75" x14ac:dyDescent="0.25">
      <c r="A4" s="1" t="s">
        <v>107</v>
      </c>
      <c r="B4" s="2"/>
      <c r="C4" s="2"/>
      <c r="D4" s="2"/>
      <c r="E4" s="2"/>
      <c r="F4" s="2"/>
      <c r="G4" s="2"/>
      <c r="I4" s="2"/>
    </row>
    <row r="5" spans="1:9" ht="15.75" x14ac:dyDescent="0.25">
      <c r="A5" s="1" t="s">
        <v>117</v>
      </c>
      <c r="B5" s="2"/>
      <c r="C5" s="2" t="s">
        <v>155</v>
      </c>
      <c r="D5" s="2"/>
      <c r="E5" s="2"/>
      <c r="F5" s="2"/>
      <c r="G5" s="2"/>
      <c r="I5" s="2"/>
    </row>
    <row r="6" spans="1:9" ht="15.75" x14ac:dyDescent="0.25">
      <c r="A6" s="22" t="s">
        <v>108</v>
      </c>
      <c r="B6" s="2"/>
      <c r="C6" s="2"/>
      <c r="D6" s="2"/>
      <c r="E6" s="2"/>
      <c r="F6" s="2"/>
      <c r="G6" s="2"/>
      <c r="I6" s="2"/>
    </row>
    <row r="7" spans="1:9" ht="15.75" x14ac:dyDescent="0.25">
      <c r="A7" s="22" t="s">
        <v>109</v>
      </c>
      <c r="B7" s="2"/>
      <c r="C7" s="2"/>
      <c r="D7" s="2"/>
      <c r="E7" s="2"/>
      <c r="F7" s="2"/>
      <c r="G7" s="2"/>
      <c r="I7" s="2"/>
    </row>
    <row r="8" spans="1:9" ht="31.5" x14ac:dyDescent="0.25">
      <c r="A8" s="4"/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50" t="s">
        <v>115</v>
      </c>
      <c r="H8" s="62" t="s">
        <v>124</v>
      </c>
      <c r="I8" s="12" t="s">
        <v>116</v>
      </c>
    </row>
    <row r="9" spans="1:9" ht="15.75" x14ac:dyDescent="0.25">
      <c r="A9" s="5" t="str">
        <f>'[11]Tariff summary'!$F16</f>
        <v>Domestic Aggregated with Residual</v>
      </c>
      <c r="B9" s="23"/>
      <c r="C9" s="32">
        <f>'[13]Tariff summary'!J16</f>
        <v>7.2359999999999998</v>
      </c>
      <c r="D9" s="32">
        <f>'[13]Tariff summary'!K16</f>
        <v>1.6339999999999999</v>
      </c>
      <c r="E9" s="32">
        <f>'[13]Tariff summary'!L16</f>
        <v>0.13800000000000001</v>
      </c>
      <c r="F9" s="69">
        <f>'[13]Tariff summary'!M16</f>
        <v>15.61</v>
      </c>
      <c r="G9" s="69">
        <f>'[13]Tariff summary'!N16</f>
        <v>0</v>
      </c>
      <c r="H9" s="69">
        <f>'[13]Tariff summary'!O16</f>
        <v>0</v>
      </c>
      <c r="I9" s="63">
        <f>'[13]Tariff summary'!P16</f>
        <v>0</v>
      </c>
    </row>
    <row r="10" spans="1:9" ht="15.75" x14ac:dyDescent="0.25">
      <c r="A10" s="5" t="str">
        <f>'[11]Tariff summary'!$F17</f>
        <v>Domestic Aggregated (Related MPAN)</v>
      </c>
      <c r="B10" s="23"/>
      <c r="C10" s="32">
        <f>'[13]Tariff summary'!J17</f>
        <v>7.2359999999999998</v>
      </c>
      <c r="D10" s="32">
        <f>'[13]Tariff summary'!K17</f>
        <v>1.6339999999999999</v>
      </c>
      <c r="E10" s="32">
        <f>'[13]Tariff summary'!L17</f>
        <v>0.13800000000000001</v>
      </c>
      <c r="F10" s="69">
        <f>'[13]Tariff summary'!M17</f>
        <v>0</v>
      </c>
      <c r="G10" s="69">
        <f>'[13]Tariff summary'!N17</f>
        <v>0</v>
      </c>
      <c r="H10" s="69">
        <f>'[13]Tariff summary'!O17</f>
        <v>0</v>
      </c>
      <c r="I10" s="63">
        <f>'[13]Tariff summary'!P17</f>
        <v>0</v>
      </c>
    </row>
    <row r="11" spans="1:9" ht="15.75" x14ac:dyDescent="0.25">
      <c r="A11" s="5" t="str">
        <f>'[11]Tariff summary'!$F18</f>
        <v>Non-Domestic Aggregated No Residual</v>
      </c>
      <c r="B11" s="23"/>
      <c r="C11" s="32">
        <f>'[13]Tariff summary'!J18</f>
        <v>6.6150000000000002</v>
      </c>
      <c r="D11" s="32">
        <f>'[13]Tariff summary'!K18</f>
        <v>1.494</v>
      </c>
      <c r="E11" s="32">
        <f>'[13]Tariff summary'!L18</f>
        <v>0.126</v>
      </c>
      <c r="F11" s="69">
        <f>'[13]Tariff summary'!M18</f>
        <v>9.61</v>
      </c>
      <c r="G11" s="69">
        <f>'[13]Tariff summary'!N18</f>
        <v>0</v>
      </c>
      <c r="H11" s="69">
        <f>'[13]Tariff summary'!O18</f>
        <v>0</v>
      </c>
      <c r="I11" s="63">
        <f>'[13]Tariff summary'!P18</f>
        <v>0</v>
      </c>
    </row>
    <row r="12" spans="1:9" ht="15.75" x14ac:dyDescent="0.25">
      <c r="A12" s="5" t="str">
        <f>'[11]Tariff summary'!$F19</f>
        <v>Non-Domestic Aggregated Band 1</v>
      </c>
      <c r="B12" s="23"/>
      <c r="C12" s="32">
        <f>'[13]Tariff summary'!J19</f>
        <v>6.6150000000000002</v>
      </c>
      <c r="D12" s="32">
        <f>'[13]Tariff summary'!K19</f>
        <v>1.494</v>
      </c>
      <c r="E12" s="32">
        <f>'[13]Tariff summary'!L19</f>
        <v>0.126</v>
      </c>
      <c r="F12" s="69">
        <f>'[13]Tariff summary'!M19</f>
        <v>14.3</v>
      </c>
      <c r="G12" s="69">
        <f>'[13]Tariff summary'!N19</f>
        <v>0</v>
      </c>
      <c r="H12" s="69">
        <f>'[13]Tariff summary'!O19</f>
        <v>0</v>
      </c>
      <c r="I12" s="63">
        <f>'[13]Tariff summary'!P19</f>
        <v>0</v>
      </c>
    </row>
    <row r="13" spans="1:9" ht="15.75" x14ac:dyDescent="0.25">
      <c r="A13" s="5" t="str">
        <f>'[11]Tariff summary'!$F20</f>
        <v>Non-Domestic Aggregated Band 2</v>
      </c>
      <c r="B13" s="23"/>
      <c r="C13" s="32">
        <f>'[13]Tariff summary'!J20</f>
        <v>6.6150000000000002</v>
      </c>
      <c r="D13" s="32">
        <f>'[13]Tariff summary'!K20</f>
        <v>1.494</v>
      </c>
      <c r="E13" s="32">
        <f>'[13]Tariff summary'!L20</f>
        <v>0.126</v>
      </c>
      <c r="F13" s="69">
        <f>'[13]Tariff summary'!M20</f>
        <v>31.85</v>
      </c>
      <c r="G13" s="69">
        <f>'[13]Tariff summary'!N20</f>
        <v>0</v>
      </c>
      <c r="H13" s="69">
        <f>'[13]Tariff summary'!O20</f>
        <v>0</v>
      </c>
      <c r="I13" s="63">
        <f>'[13]Tariff summary'!P20</f>
        <v>0</v>
      </c>
    </row>
    <row r="14" spans="1:9" ht="15.75" x14ac:dyDescent="0.25">
      <c r="A14" s="5" t="str">
        <f>'[11]Tariff summary'!$F21</f>
        <v>Non-Domestic Aggregated Band 3</v>
      </c>
      <c r="B14" s="23"/>
      <c r="C14" s="32">
        <f>'[13]Tariff summary'!J21</f>
        <v>6.6150000000000002</v>
      </c>
      <c r="D14" s="32">
        <f>'[13]Tariff summary'!K21</f>
        <v>1.494</v>
      </c>
      <c r="E14" s="32">
        <f>'[13]Tariff summary'!L21</f>
        <v>0.126</v>
      </c>
      <c r="F14" s="69">
        <f>'[13]Tariff summary'!M21</f>
        <v>64.38</v>
      </c>
      <c r="G14" s="69">
        <f>'[13]Tariff summary'!N21</f>
        <v>0</v>
      </c>
      <c r="H14" s="69">
        <f>'[13]Tariff summary'!O21</f>
        <v>0</v>
      </c>
      <c r="I14" s="63">
        <f>'[13]Tariff summary'!P21</f>
        <v>0</v>
      </c>
    </row>
    <row r="15" spans="1:9" ht="15.75" x14ac:dyDescent="0.25">
      <c r="A15" s="5" t="str">
        <f>'[11]Tariff summary'!$F22</f>
        <v>Non-Domestic Aggregated Band 4</v>
      </c>
      <c r="B15" s="5"/>
      <c r="C15" s="32">
        <f>'[13]Tariff summary'!J22</f>
        <v>6.6150000000000002</v>
      </c>
      <c r="D15" s="32">
        <f>'[13]Tariff summary'!K22</f>
        <v>1.494</v>
      </c>
      <c r="E15" s="32">
        <f>'[13]Tariff summary'!L22</f>
        <v>0.126</v>
      </c>
      <c r="F15" s="69">
        <f>'[13]Tariff summary'!M22</f>
        <v>183.92</v>
      </c>
      <c r="G15" s="69">
        <f>'[13]Tariff summary'!N22</f>
        <v>0</v>
      </c>
      <c r="H15" s="69">
        <f>'[13]Tariff summary'!O22</f>
        <v>0</v>
      </c>
      <c r="I15" s="63">
        <f>'[13]Tariff summary'!P22</f>
        <v>0</v>
      </c>
    </row>
    <row r="16" spans="1:9" ht="15.75" x14ac:dyDescent="0.25">
      <c r="A16" s="5" t="str">
        <f>'[11]Tariff summary'!$F23</f>
        <v>Non-Domestic Aggregated (Related MPAN)</v>
      </c>
      <c r="B16" s="5"/>
      <c r="C16" s="32">
        <f>'[13]Tariff summary'!J23</f>
        <v>6.6150000000000002</v>
      </c>
      <c r="D16" s="32">
        <f>'[13]Tariff summary'!K23</f>
        <v>1.494</v>
      </c>
      <c r="E16" s="32">
        <f>'[13]Tariff summary'!L23</f>
        <v>0.126</v>
      </c>
      <c r="F16" s="69">
        <f>'[13]Tariff summary'!M23</f>
        <v>0</v>
      </c>
      <c r="G16" s="69">
        <f>'[13]Tariff summary'!N23</f>
        <v>0</v>
      </c>
      <c r="H16" s="69">
        <f>'[13]Tariff summary'!O23</f>
        <v>0</v>
      </c>
      <c r="I16" s="63">
        <f>'[13]Tariff summary'!P23</f>
        <v>0</v>
      </c>
    </row>
    <row r="17" spans="1:9" ht="15.75" x14ac:dyDescent="0.25">
      <c r="A17" s="5" t="str">
        <f>'[11]Tariff summary'!$F24</f>
        <v>LV Site Specific No Residual</v>
      </c>
      <c r="B17" s="5"/>
      <c r="C17" s="32">
        <f>'[13]Tariff summary'!J24</f>
        <v>4.9779999999999998</v>
      </c>
      <c r="D17" s="32">
        <f>'[13]Tariff summary'!K24</f>
        <v>1.0900000000000001</v>
      </c>
      <c r="E17" s="32">
        <f>'[13]Tariff summary'!L24</f>
        <v>9.0999999999999998E-2</v>
      </c>
      <c r="F17" s="69">
        <f>'[13]Tariff summary'!M24</f>
        <v>14.39</v>
      </c>
      <c r="G17" s="69">
        <f>'[13]Tariff summary'!N24</f>
        <v>3.53</v>
      </c>
      <c r="H17" s="69">
        <f>'[13]Tariff summary'!O24</f>
        <v>6.79</v>
      </c>
      <c r="I17" s="63">
        <f>'[13]Tariff summary'!P24</f>
        <v>0.16900000000000001</v>
      </c>
    </row>
    <row r="18" spans="1:9" ht="15.75" x14ac:dyDescent="0.25">
      <c r="A18" s="5" t="str">
        <f>'[11]Tariff summary'!$F25</f>
        <v>LV Site Specific Band 1</v>
      </c>
      <c r="B18" s="4"/>
      <c r="C18" s="32">
        <f>'[13]Tariff summary'!J25</f>
        <v>4.9779999999999998</v>
      </c>
      <c r="D18" s="32">
        <f>'[13]Tariff summary'!K25</f>
        <v>1.0900000000000001</v>
      </c>
      <c r="E18" s="32">
        <f>'[13]Tariff summary'!L25</f>
        <v>9.0999999999999998E-2</v>
      </c>
      <c r="F18" s="69">
        <f>'[13]Tariff summary'!M25</f>
        <v>311.85000000000002</v>
      </c>
      <c r="G18" s="69">
        <f>'[13]Tariff summary'!N25</f>
        <v>3.53</v>
      </c>
      <c r="H18" s="69">
        <f>'[13]Tariff summary'!O25</f>
        <v>6.79</v>
      </c>
      <c r="I18" s="63">
        <f>'[13]Tariff summary'!P25</f>
        <v>0.16900000000000001</v>
      </c>
    </row>
    <row r="19" spans="1:9" ht="15.75" x14ac:dyDescent="0.25">
      <c r="A19" s="5" t="str">
        <f>'[11]Tariff summary'!$F26</f>
        <v>LV Site Specific Band 2</v>
      </c>
      <c r="B19" s="4"/>
      <c r="C19" s="32">
        <f>'[13]Tariff summary'!J26</f>
        <v>4.9779999999999998</v>
      </c>
      <c r="D19" s="32">
        <f>'[13]Tariff summary'!K26</f>
        <v>1.0900000000000001</v>
      </c>
      <c r="E19" s="32">
        <f>'[13]Tariff summary'!L26</f>
        <v>9.0999999999999998E-2</v>
      </c>
      <c r="F19" s="69">
        <f>'[13]Tariff summary'!M26</f>
        <v>538.66999999999996</v>
      </c>
      <c r="G19" s="69">
        <f>'[13]Tariff summary'!N26</f>
        <v>3.53</v>
      </c>
      <c r="H19" s="69">
        <f>'[13]Tariff summary'!O26</f>
        <v>6.79</v>
      </c>
      <c r="I19" s="63">
        <f>'[13]Tariff summary'!P26</f>
        <v>0.16900000000000001</v>
      </c>
    </row>
    <row r="20" spans="1:9" ht="15.75" x14ac:dyDescent="0.25">
      <c r="A20" s="5" t="str">
        <f>'[11]Tariff summary'!$F27</f>
        <v>LV Site Specific Band 3</v>
      </c>
      <c r="B20" s="4"/>
      <c r="C20" s="32">
        <f>'[13]Tariff summary'!J27</f>
        <v>4.9779999999999998</v>
      </c>
      <c r="D20" s="32">
        <f>'[13]Tariff summary'!K27</f>
        <v>1.0900000000000001</v>
      </c>
      <c r="E20" s="32">
        <f>'[13]Tariff summary'!L27</f>
        <v>9.0999999999999998E-2</v>
      </c>
      <c r="F20" s="69">
        <f>'[13]Tariff summary'!M27</f>
        <v>858.97</v>
      </c>
      <c r="G20" s="69">
        <f>'[13]Tariff summary'!N27</f>
        <v>3.53</v>
      </c>
      <c r="H20" s="69">
        <f>'[13]Tariff summary'!O27</f>
        <v>6.79</v>
      </c>
      <c r="I20" s="63">
        <f>'[13]Tariff summary'!P27</f>
        <v>0.16900000000000001</v>
      </c>
    </row>
    <row r="21" spans="1:9" ht="15.75" x14ac:dyDescent="0.25">
      <c r="A21" s="5" t="str">
        <f>'[11]Tariff summary'!$F28</f>
        <v>LV Site Specific Band 4</v>
      </c>
      <c r="B21" s="6"/>
      <c r="C21" s="32">
        <f>'[13]Tariff summary'!J28</f>
        <v>4.9779999999999998</v>
      </c>
      <c r="D21" s="32">
        <f>'[13]Tariff summary'!K28</f>
        <v>1.0900000000000001</v>
      </c>
      <c r="E21" s="32">
        <f>'[13]Tariff summary'!L28</f>
        <v>9.0999999999999998E-2</v>
      </c>
      <c r="F21" s="69">
        <f>'[13]Tariff summary'!M28</f>
        <v>1736.15</v>
      </c>
      <c r="G21" s="69">
        <f>'[13]Tariff summary'!N28</f>
        <v>3.53</v>
      </c>
      <c r="H21" s="69">
        <f>'[13]Tariff summary'!O28</f>
        <v>6.79</v>
      </c>
      <c r="I21" s="63">
        <f>'[13]Tariff summary'!P28</f>
        <v>0.16900000000000001</v>
      </c>
    </row>
    <row r="22" spans="1:9" ht="15.75" x14ac:dyDescent="0.25">
      <c r="A22" s="5" t="str">
        <f>'[11]Tariff summary'!$F29</f>
        <v>LV Sub Site Specific No Residual</v>
      </c>
      <c r="B22" s="4"/>
      <c r="C22" s="32">
        <f>'[13]Tariff summary'!J29</f>
        <v>3.105</v>
      </c>
      <c r="D22" s="32">
        <f>'[13]Tariff summary'!K29</f>
        <v>0.63300000000000001</v>
      </c>
      <c r="E22" s="32">
        <f>'[13]Tariff summary'!L29</f>
        <v>5.2999999999999999E-2</v>
      </c>
      <c r="F22" s="69">
        <f>'[13]Tariff summary'!M29</f>
        <v>11.33</v>
      </c>
      <c r="G22" s="69">
        <f>'[13]Tariff summary'!N29</f>
        <v>4.2300000000000004</v>
      </c>
      <c r="H22" s="69">
        <f>'[13]Tariff summary'!O29</f>
        <v>6.29</v>
      </c>
      <c r="I22" s="63">
        <f>'[13]Tariff summary'!P29</f>
        <v>0.11700000000000001</v>
      </c>
    </row>
    <row r="23" spans="1:9" ht="15.75" x14ac:dyDescent="0.25">
      <c r="A23" s="5" t="str">
        <f>'[11]Tariff summary'!$F30</f>
        <v>LV Sub Site Specific Band 1</v>
      </c>
      <c r="B23" s="23"/>
      <c r="C23" s="32">
        <f>'[13]Tariff summary'!J30</f>
        <v>3.105</v>
      </c>
      <c r="D23" s="32">
        <f>'[13]Tariff summary'!K30</f>
        <v>0.63300000000000001</v>
      </c>
      <c r="E23" s="32">
        <f>'[13]Tariff summary'!L30</f>
        <v>5.2999999999999999E-2</v>
      </c>
      <c r="F23" s="69">
        <f>'[13]Tariff summary'!M30</f>
        <v>308.79000000000002</v>
      </c>
      <c r="G23" s="69">
        <f>'[13]Tariff summary'!N30</f>
        <v>4.2300000000000004</v>
      </c>
      <c r="H23" s="69">
        <f>'[13]Tariff summary'!O30</f>
        <v>6.29</v>
      </c>
      <c r="I23" s="63">
        <f>'[13]Tariff summary'!P30</f>
        <v>0.11700000000000001</v>
      </c>
    </row>
    <row r="24" spans="1:9" ht="15.75" x14ac:dyDescent="0.25">
      <c r="A24" s="5" t="str">
        <f>'[11]Tariff summary'!$F31</f>
        <v>LV Sub Site Specific Band 2</v>
      </c>
      <c r="B24" s="23"/>
      <c r="C24" s="32">
        <f>'[13]Tariff summary'!J31</f>
        <v>3.105</v>
      </c>
      <c r="D24" s="32">
        <f>'[13]Tariff summary'!K31</f>
        <v>0.63300000000000001</v>
      </c>
      <c r="E24" s="32">
        <f>'[13]Tariff summary'!L31</f>
        <v>5.2999999999999999E-2</v>
      </c>
      <c r="F24" s="69">
        <f>'[13]Tariff summary'!M31</f>
        <v>535.62</v>
      </c>
      <c r="G24" s="69">
        <f>'[13]Tariff summary'!N31</f>
        <v>4.2300000000000004</v>
      </c>
      <c r="H24" s="69">
        <f>'[13]Tariff summary'!O31</f>
        <v>6.29</v>
      </c>
      <c r="I24" s="63">
        <f>'[13]Tariff summary'!P31</f>
        <v>0.11700000000000001</v>
      </c>
    </row>
    <row r="25" spans="1:9" ht="15.75" x14ac:dyDescent="0.25">
      <c r="A25" s="5" t="str">
        <f>'[11]Tariff summary'!$F32</f>
        <v>LV Sub Site Specific Band 3</v>
      </c>
      <c r="B25" s="23"/>
      <c r="C25" s="32">
        <f>'[13]Tariff summary'!J32</f>
        <v>3.105</v>
      </c>
      <c r="D25" s="32">
        <f>'[13]Tariff summary'!K32</f>
        <v>0.63300000000000001</v>
      </c>
      <c r="E25" s="32">
        <f>'[13]Tariff summary'!L32</f>
        <v>5.2999999999999999E-2</v>
      </c>
      <c r="F25" s="69">
        <f>'[13]Tariff summary'!M32</f>
        <v>855.91</v>
      </c>
      <c r="G25" s="69">
        <f>'[13]Tariff summary'!N32</f>
        <v>4.2300000000000004</v>
      </c>
      <c r="H25" s="69">
        <f>'[13]Tariff summary'!O32</f>
        <v>6.29</v>
      </c>
      <c r="I25" s="63">
        <f>'[13]Tariff summary'!P32</f>
        <v>0.11700000000000001</v>
      </c>
    </row>
    <row r="26" spans="1:9" ht="15.75" x14ac:dyDescent="0.25">
      <c r="A26" s="5" t="str">
        <f>'[11]Tariff summary'!$F33</f>
        <v>LV Sub Site Specific Band 4</v>
      </c>
      <c r="B26" s="23"/>
      <c r="C26" s="32">
        <f>'[13]Tariff summary'!J33</f>
        <v>3.105</v>
      </c>
      <c r="D26" s="32">
        <f>'[13]Tariff summary'!K33</f>
        <v>0.63300000000000001</v>
      </c>
      <c r="E26" s="32">
        <f>'[13]Tariff summary'!L33</f>
        <v>5.2999999999999999E-2</v>
      </c>
      <c r="F26" s="69">
        <f>'[13]Tariff summary'!M33</f>
        <v>1733.09</v>
      </c>
      <c r="G26" s="69">
        <f>'[13]Tariff summary'!N33</f>
        <v>4.2300000000000004</v>
      </c>
      <c r="H26" s="69">
        <f>'[13]Tariff summary'!O33</f>
        <v>6.29</v>
      </c>
      <c r="I26" s="63">
        <f>'[13]Tariff summary'!P33</f>
        <v>0.11700000000000001</v>
      </c>
    </row>
    <row r="27" spans="1:9" ht="15.75" x14ac:dyDescent="0.25">
      <c r="A27" s="5" t="str">
        <f>'[11]Tariff summary'!$F34</f>
        <v>HV Site Specific No Residual</v>
      </c>
      <c r="B27" s="23"/>
      <c r="C27" s="32">
        <f>'[13]Tariff summary'!J34</f>
        <v>1.9319999999999999</v>
      </c>
      <c r="D27" s="32">
        <f>'[13]Tariff summary'!K34</f>
        <v>0.34399999999999997</v>
      </c>
      <c r="E27" s="32">
        <f>'[13]Tariff summary'!L34</f>
        <v>2.8000000000000001E-2</v>
      </c>
      <c r="F27" s="69">
        <f>'[13]Tariff summary'!M34</f>
        <v>100.88</v>
      </c>
      <c r="G27" s="69">
        <f>'[13]Tariff summary'!N34</f>
        <v>5.13</v>
      </c>
      <c r="H27" s="69">
        <f>'[13]Tariff summary'!O34</f>
        <v>7.31</v>
      </c>
      <c r="I27" s="63">
        <f>'[13]Tariff summary'!P34</f>
        <v>5.8999999999999997E-2</v>
      </c>
    </row>
    <row r="28" spans="1:9" ht="15.75" x14ac:dyDescent="0.25">
      <c r="A28" s="5" t="str">
        <f>'[11]Tariff summary'!$F35</f>
        <v>HV Site Specific Band 1</v>
      </c>
      <c r="B28" s="23"/>
      <c r="C28" s="32">
        <f>'[13]Tariff summary'!J35</f>
        <v>1.9319999999999999</v>
      </c>
      <c r="D28" s="32">
        <f>'[13]Tariff summary'!K35</f>
        <v>0.34399999999999997</v>
      </c>
      <c r="E28" s="32">
        <f>'[13]Tariff summary'!L35</f>
        <v>2.8000000000000001E-2</v>
      </c>
      <c r="F28" s="69">
        <f>'[13]Tariff summary'!M35</f>
        <v>1487.36</v>
      </c>
      <c r="G28" s="69">
        <f>'[13]Tariff summary'!N35</f>
        <v>5.13</v>
      </c>
      <c r="H28" s="69">
        <f>'[13]Tariff summary'!O35</f>
        <v>7.31</v>
      </c>
      <c r="I28" s="63">
        <f>'[13]Tariff summary'!P35</f>
        <v>5.8999999999999997E-2</v>
      </c>
    </row>
    <row r="29" spans="1:9" ht="15.75" x14ac:dyDescent="0.25">
      <c r="A29" s="5" t="str">
        <f>'[11]Tariff summary'!$F36</f>
        <v>HV Site Specific Band 2</v>
      </c>
      <c r="B29" s="23"/>
      <c r="C29" s="32">
        <f>'[13]Tariff summary'!J36</f>
        <v>1.9319999999999999</v>
      </c>
      <c r="D29" s="32">
        <f>'[13]Tariff summary'!K36</f>
        <v>0.34399999999999997</v>
      </c>
      <c r="E29" s="32">
        <f>'[13]Tariff summary'!L36</f>
        <v>2.8000000000000001E-2</v>
      </c>
      <c r="F29" s="69">
        <f>'[13]Tariff summary'!M36</f>
        <v>4489.66</v>
      </c>
      <c r="G29" s="69">
        <f>'[13]Tariff summary'!N36</f>
        <v>5.13</v>
      </c>
      <c r="H29" s="69">
        <f>'[13]Tariff summary'!O36</f>
        <v>7.31</v>
      </c>
      <c r="I29" s="63">
        <f>'[13]Tariff summary'!P36</f>
        <v>5.8999999999999997E-2</v>
      </c>
    </row>
    <row r="30" spans="1:9" ht="15.75" x14ac:dyDescent="0.25">
      <c r="A30" s="5" t="str">
        <f>'[11]Tariff summary'!$F37</f>
        <v>HV Site Specific Band 3</v>
      </c>
      <c r="B30" s="23"/>
      <c r="C30" s="32">
        <f>'[13]Tariff summary'!J37</f>
        <v>1.9319999999999999</v>
      </c>
      <c r="D30" s="32">
        <f>'[13]Tariff summary'!K37</f>
        <v>0.34399999999999997</v>
      </c>
      <c r="E30" s="32">
        <f>'[13]Tariff summary'!L37</f>
        <v>2.8000000000000001E-2</v>
      </c>
      <c r="F30" s="69">
        <f>'[13]Tariff summary'!M37</f>
        <v>10213.56</v>
      </c>
      <c r="G30" s="69">
        <f>'[13]Tariff summary'!N37</f>
        <v>5.13</v>
      </c>
      <c r="H30" s="69">
        <f>'[13]Tariff summary'!O37</f>
        <v>7.31</v>
      </c>
      <c r="I30" s="63">
        <f>'[13]Tariff summary'!P37</f>
        <v>5.8999999999999997E-2</v>
      </c>
    </row>
    <row r="31" spans="1:9" ht="15.75" x14ac:dyDescent="0.25">
      <c r="A31" s="5" t="str">
        <f>'[11]Tariff summary'!$F38</f>
        <v>HV Site Specific Band 4</v>
      </c>
      <c r="B31" s="23"/>
      <c r="C31" s="32">
        <f>'[13]Tariff summary'!J38</f>
        <v>1.9319999999999999</v>
      </c>
      <c r="D31" s="32">
        <f>'[13]Tariff summary'!K38</f>
        <v>0.34399999999999997</v>
      </c>
      <c r="E31" s="32">
        <f>'[13]Tariff summary'!L38</f>
        <v>2.8000000000000001E-2</v>
      </c>
      <c r="F31" s="69">
        <f>'[13]Tariff summary'!M38</f>
        <v>27320.01</v>
      </c>
      <c r="G31" s="69">
        <f>'[13]Tariff summary'!N38</f>
        <v>5.13</v>
      </c>
      <c r="H31" s="69">
        <f>'[13]Tariff summary'!O38</f>
        <v>7.31</v>
      </c>
      <c r="I31" s="63">
        <f>'[13]Tariff summary'!P38</f>
        <v>5.8999999999999997E-2</v>
      </c>
    </row>
    <row r="32" spans="1:9" ht="15.75" x14ac:dyDescent="0.25">
      <c r="A32" s="5" t="str">
        <f>'[11]Tariff summary'!$F39</f>
        <v>Unmetered Supplies</v>
      </c>
      <c r="B32" s="23"/>
      <c r="C32" s="32">
        <f>'[13]Tariff summary'!J39</f>
        <v>18.943000000000001</v>
      </c>
      <c r="D32" s="32">
        <f>'[13]Tariff summary'!K39</f>
        <v>3.4009999999999998</v>
      </c>
      <c r="E32" s="32">
        <f>'[13]Tariff summary'!L39</f>
        <v>2.1080000000000001</v>
      </c>
      <c r="F32" s="69">
        <f>'[13]Tariff summary'!M39</f>
        <v>0</v>
      </c>
      <c r="G32" s="69">
        <f>'[13]Tariff summary'!N39</f>
        <v>0</v>
      </c>
      <c r="H32" s="69">
        <f>'[13]Tariff summary'!O39</f>
        <v>0</v>
      </c>
      <c r="I32" s="63">
        <f>'[13]Tariff summary'!P39</f>
        <v>0</v>
      </c>
    </row>
    <row r="33" spans="1:9" ht="15.75" x14ac:dyDescent="0.25">
      <c r="A33" s="5" t="str">
        <f>'[11]Tariff summary'!$F40</f>
        <v>LV Generation Aggregated</v>
      </c>
      <c r="B33" s="23"/>
      <c r="C33" s="32">
        <f>'[13]Tariff summary'!J40</f>
        <v>-4.3150000000000004</v>
      </c>
      <c r="D33" s="32">
        <f>'[13]Tariff summary'!K40</f>
        <v>-0.97399999999999998</v>
      </c>
      <c r="E33" s="32">
        <f>'[13]Tariff summary'!L40</f>
        <v>-8.2000000000000003E-2</v>
      </c>
      <c r="F33" s="69">
        <f>'[13]Tariff summary'!M40</f>
        <v>0</v>
      </c>
      <c r="G33" s="69">
        <f>'[13]Tariff summary'!N40</f>
        <v>0</v>
      </c>
      <c r="H33" s="69">
        <f>'[13]Tariff summary'!O40</f>
        <v>0</v>
      </c>
      <c r="I33" s="63">
        <f>'[13]Tariff summary'!P40</f>
        <v>0</v>
      </c>
    </row>
    <row r="34" spans="1:9" ht="15.75" x14ac:dyDescent="0.25">
      <c r="A34" s="5" t="str">
        <f>'[11]Tariff summary'!$F41</f>
        <v>LV Sub Generation Aggregated</v>
      </c>
      <c r="B34" s="23"/>
      <c r="C34" s="32">
        <f>'[13]Tariff summary'!J41</f>
        <v>-3.7789999999999999</v>
      </c>
      <c r="D34" s="32">
        <f>'[13]Tariff summary'!K41</f>
        <v>-0.83799999999999997</v>
      </c>
      <c r="E34" s="32">
        <f>'[13]Tariff summary'!L41</f>
        <v>-7.0000000000000007E-2</v>
      </c>
      <c r="F34" s="69">
        <f>'[13]Tariff summary'!M41</f>
        <v>0</v>
      </c>
      <c r="G34" s="69">
        <f>'[13]Tariff summary'!N41</f>
        <v>0</v>
      </c>
      <c r="H34" s="69">
        <f>'[13]Tariff summary'!O41</f>
        <v>0</v>
      </c>
      <c r="I34" s="63">
        <f>'[13]Tariff summary'!P41</f>
        <v>0</v>
      </c>
    </row>
    <row r="35" spans="1:9" ht="15.75" x14ac:dyDescent="0.25">
      <c r="A35" s="5" t="str">
        <f>'[11]Tariff summary'!$F42</f>
        <v>LV Generation Site Specific</v>
      </c>
      <c r="B35" s="23"/>
      <c r="C35" s="32">
        <f>'[13]Tariff summary'!J42</f>
        <v>-4.3150000000000004</v>
      </c>
      <c r="D35" s="32">
        <f>'[13]Tariff summary'!K42</f>
        <v>-0.97399999999999998</v>
      </c>
      <c r="E35" s="32">
        <f>'[13]Tariff summary'!L42</f>
        <v>-8.2000000000000003E-2</v>
      </c>
      <c r="F35" s="69">
        <f>'[13]Tariff summary'!M42</f>
        <v>0</v>
      </c>
      <c r="G35" s="69">
        <f>'[13]Tariff summary'!N42</f>
        <v>0</v>
      </c>
      <c r="H35" s="69">
        <f>'[13]Tariff summary'!O42</f>
        <v>0</v>
      </c>
      <c r="I35" s="63">
        <f>'[13]Tariff summary'!P42</f>
        <v>0.16600000000000001</v>
      </c>
    </row>
    <row r="36" spans="1:9" ht="15.75" x14ac:dyDescent="0.25">
      <c r="A36" s="5" t="str">
        <f>'[11]Tariff summary'!$F43</f>
        <v>LV Generation Site Specific no RP Charge</v>
      </c>
      <c r="B36" s="23"/>
      <c r="C36" s="32">
        <f>'[13]Tariff summary'!J43</f>
        <v>-4.3150000000000004</v>
      </c>
      <c r="D36" s="32">
        <f>'[13]Tariff summary'!K43</f>
        <v>-0.97399999999999998</v>
      </c>
      <c r="E36" s="32">
        <f>'[13]Tariff summary'!L43</f>
        <v>-8.2000000000000003E-2</v>
      </c>
      <c r="F36" s="69">
        <f>'[13]Tariff summary'!M43</f>
        <v>0</v>
      </c>
      <c r="G36" s="69">
        <f>'[13]Tariff summary'!N43</f>
        <v>0</v>
      </c>
      <c r="H36" s="69">
        <f>'[13]Tariff summary'!O43</f>
        <v>0</v>
      </c>
      <c r="I36" s="63">
        <f>'[13]Tariff summary'!P43</f>
        <v>0</v>
      </c>
    </row>
    <row r="37" spans="1:9" ht="15.75" x14ac:dyDescent="0.25">
      <c r="A37" s="5" t="str">
        <f>'[11]Tariff summary'!$F44</f>
        <v>LV Sub Generation Site Specific</v>
      </c>
      <c r="B37" s="23"/>
      <c r="C37" s="32">
        <f>'[13]Tariff summary'!J44</f>
        <v>-3.7789999999999999</v>
      </c>
      <c r="D37" s="32">
        <f>'[13]Tariff summary'!K44</f>
        <v>-0.83799999999999997</v>
      </c>
      <c r="E37" s="32">
        <f>'[13]Tariff summary'!L44</f>
        <v>-7.0000000000000007E-2</v>
      </c>
      <c r="F37" s="69">
        <f>'[13]Tariff summary'!M44</f>
        <v>0</v>
      </c>
      <c r="G37" s="69">
        <f>'[13]Tariff summary'!N44</f>
        <v>0</v>
      </c>
      <c r="H37" s="69">
        <f>'[13]Tariff summary'!O44</f>
        <v>0</v>
      </c>
      <c r="I37" s="63">
        <f>'[13]Tariff summary'!P44</f>
        <v>0.13800000000000001</v>
      </c>
    </row>
    <row r="38" spans="1:9" ht="15.75" x14ac:dyDescent="0.25">
      <c r="A38" s="5" t="str">
        <f>'[11]Tariff summary'!$F45</f>
        <v>LV Sub Generation Site Specific no RP Charge</v>
      </c>
      <c r="B38" s="23"/>
      <c r="C38" s="32">
        <f>'[13]Tariff summary'!J45</f>
        <v>-3.7789999999999999</v>
      </c>
      <c r="D38" s="32">
        <f>'[13]Tariff summary'!K45</f>
        <v>-0.83799999999999997</v>
      </c>
      <c r="E38" s="32">
        <f>'[13]Tariff summary'!L45</f>
        <v>-7.0000000000000007E-2</v>
      </c>
      <c r="F38" s="69">
        <f>'[13]Tariff summary'!M45</f>
        <v>0</v>
      </c>
      <c r="G38" s="69">
        <f>'[13]Tariff summary'!N45</f>
        <v>0</v>
      </c>
      <c r="H38" s="69">
        <f>'[13]Tariff summary'!O45</f>
        <v>0</v>
      </c>
      <c r="I38" s="63">
        <f>'[13]Tariff summary'!P45</f>
        <v>0</v>
      </c>
    </row>
    <row r="39" spans="1:9" ht="15.75" x14ac:dyDescent="0.25">
      <c r="A39" s="5" t="str">
        <f>'[11]Tariff summary'!$F46</f>
        <v>HV Generation Site Specific</v>
      </c>
      <c r="B39" s="23"/>
      <c r="C39" s="32">
        <f>'[13]Tariff summary'!J46</f>
        <v>-2.4449999999999998</v>
      </c>
      <c r="D39" s="32">
        <f>'[13]Tariff summary'!K46</f>
        <v>-0.48899999999999999</v>
      </c>
      <c r="E39" s="32">
        <f>'[13]Tariff summary'!L46</f>
        <v>-4.1000000000000002E-2</v>
      </c>
      <c r="F39" s="69">
        <f>'[13]Tariff summary'!M46</f>
        <v>62.86</v>
      </c>
      <c r="G39" s="69">
        <f>'[13]Tariff summary'!N46</f>
        <v>0</v>
      </c>
      <c r="H39" s="69">
        <f>'[13]Tariff summary'!O46</f>
        <v>0</v>
      </c>
      <c r="I39" s="63">
        <f>'[13]Tariff summary'!P46</f>
        <v>0.111</v>
      </c>
    </row>
    <row r="40" spans="1:9" ht="15.75" x14ac:dyDescent="0.25">
      <c r="A40" s="5" t="str">
        <f>'[11]Tariff summary'!$F47</f>
        <v>HV Generation Site Specific no RP Charge</v>
      </c>
      <c r="B40" s="23"/>
      <c r="C40" s="32">
        <f>'[13]Tariff summary'!J47</f>
        <v>-2.4449999999999998</v>
      </c>
      <c r="D40" s="32">
        <f>'[13]Tariff summary'!K47</f>
        <v>-0.48899999999999999</v>
      </c>
      <c r="E40" s="32">
        <f>'[13]Tariff summary'!L47</f>
        <v>-4.1000000000000002E-2</v>
      </c>
      <c r="F40" s="69">
        <f>'[13]Tariff summary'!M47</f>
        <v>62.86</v>
      </c>
      <c r="G40" s="69">
        <f>'[13]Tariff summary'!N47</f>
        <v>0</v>
      </c>
      <c r="H40" s="69">
        <f>'[13]Tariff summary'!O47</f>
        <v>0</v>
      </c>
      <c r="I40" s="63">
        <f>'[13]Tariff summary'!P47</f>
        <v>0</v>
      </c>
    </row>
    <row r="42" spans="1:9" x14ac:dyDescent="0.25">
      <c r="H42" s="56"/>
    </row>
  </sheetData>
  <conditionalFormatting sqref="C9:I4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  <headerFooter>
    <oddFooter>&amp;L&amp;Z&amp;F&amp;A&amp;R&amp;D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58" workbookViewId="0">
      <selection activeCell="A67" sqref="A67:J85"/>
    </sheetView>
  </sheetViews>
  <sheetFormatPr defaultRowHeight="15" x14ac:dyDescent="0.25"/>
  <cols>
    <col min="2" max="2" width="39.28515625" bestFit="1" customWidth="1"/>
    <col min="3" max="3" width="20.85546875" bestFit="1" customWidth="1"/>
    <col min="4" max="5" width="19.42578125" bestFit="1" customWidth="1"/>
    <col min="6" max="6" width="11.5703125" bestFit="1" customWidth="1"/>
    <col min="7" max="8" width="13.28515625" bestFit="1" customWidth="1"/>
    <col min="9" max="9" width="18" bestFit="1" customWidth="1"/>
    <col min="10" max="10" width="13.28515625" bestFit="1" customWidth="1"/>
  </cols>
  <sheetData>
    <row r="1" spans="1:5" x14ac:dyDescent="0.25">
      <c r="A1" t="s">
        <v>156</v>
      </c>
    </row>
    <row r="3" spans="1:5" x14ac:dyDescent="0.25">
      <c r="A3" t="s">
        <v>157</v>
      </c>
    </row>
    <row r="4" spans="1:5" x14ac:dyDescent="0.25">
      <c r="E4" s="65"/>
    </row>
    <row r="5" spans="1:5" x14ac:dyDescent="0.25">
      <c r="A5" s="55"/>
      <c r="B5" s="55" t="s">
        <v>158</v>
      </c>
      <c r="C5" s="55" t="s">
        <v>159</v>
      </c>
      <c r="D5" s="55" t="s">
        <v>160</v>
      </c>
    </row>
    <row r="6" spans="1:5" x14ac:dyDescent="0.25">
      <c r="A6" s="55" t="s">
        <v>152</v>
      </c>
      <c r="B6" s="59">
        <f>SUM([12]Adhoc!E22:P22)</f>
        <v>714977.06960000005</v>
      </c>
      <c r="C6" s="60">
        <f>[12]COOP!N3</f>
        <v>684996.94</v>
      </c>
      <c r="D6" s="60">
        <f>C6-B6</f>
        <v>-29980.129600000102</v>
      </c>
    </row>
    <row r="7" spans="1:5" x14ac:dyDescent="0.25">
      <c r="A7" s="55" t="s">
        <v>161</v>
      </c>
      <c r="B7" s="59">
        <f>SUM([12]Adhoc!E23:P23)</f>
        <v>666657.31520000007</v>
      </c>
      <c r="C7" s="60">
        <f>[12]COOP!N4</f>
        <v>643114.76</v>
      </c>
      <c r="D7" s="60">
        <f t="shared" ref="D7:D9" si="0">C7-B7</f>
        <v>-23542.555200000061</v>
      </c>
    </row>
    <row r="8" spans="1:5" x14ac:dyDescent="0.25">
      <c r="A8" s="55" t="s">
        <v>162</v>
      </c>
      <c r="B8" s="59">
        <f>SUM([12]Adhoc!E24:P24)</f>
        <v>304574.23919999995</v>
      </c>
      <c r="C8" s="60">
        <f>[12]COOP!N5</f>
        <v>293753.74</v>
      </c>
      <c r="D8" s="60">
        <f t="shared" si="0"/>
        <v>-10820.499199999962</v>
      </c>
    </row>
    <row r="9" spans="1:5" x14ac:dyDescent="0.25">
      <c r="A9" s="55" t="s">
        <v>163</v>
      </c>
      <c r="B9" s="59">
        <f>SUM([12]Adhoc!E25:P25)</f>
        <v>425775.05599999998</v>
      </c>
      <c r="C9" s="60">
        <f>[12]COOP!N6</f>
        <v>416702.48</v>
      </c>
      <c r="D9" s="60">
        <f t="shared" si="0"/>
        <v>-9072.5760000000009</v>
      </c>
    </row>
    <row r="11" spans="1:5" x14ac:dyDescent="0.25">
      <c r="A11" t="s">
        <v>164</v>
      </c>
    </row>
    <row r="13" spans="1:5" x14ac:dyDescent="0.25">
      <c r="A13" s="55"/>
      <c r="B13" s="55" t="s">
        <v>165</v>
      </c>
      <c r="C13" s="55" t="s">
        <v>166</v>
      </c>
      <c r="D13" s="55" t="s">
        <v>160</v>
      </c>
    </row>
    <row r="14" spans="1:5" x14ac:dyDescent="0.25">
      <c r="A14" s="55" t="s">
        <v>152</v>
      </c>
      <c r="B14" s="59">
        <f>SUM([12]Adhoc!Q22:AB22)</f>
        <v>719742.9432000001</v>
      </c>
      <c r="C14" s="60">
        <f>[12]Octopus!N3</f>
        <v>643447.55999999994</v>
      </c>
      <c r="D14" s="60">
        <f>C14-B14</f>
        <v>-76295.383200000157</v>
      </c>
    </row>
    <row r="15" spans="1:5" x14ac:dyDescent="0.25">
      <c r="A15" s="55" t="s">
        <v>161</v>
      </c>
      <c r="B15" s="59">
        <f>SUM([12]Adhoc!Q23:AB23)</f>
        <v>671044.05280000018</v>
      </c>
      <c r="C15" s="60">
        <f>[12]Octopus!N4</f>
        <v>603311.4</v>
      </c>
      <c r="D15" s="60">
        <f t="shared" ref="D15:D17" si="1">C15-B15</f>
        <v>-67732.652800000156</v>
      </c>
    </row>
    <row r="16" spans="1:5" x14ac:dyDescent="0.25">
      <c r="A16" s="55" t="s">
        <v>162</v>
      </c>
      <c r="B16" s="59">
        <f>SUM([12]Adhoc!Q24:AB24)</f>
        <v>306670.96480000002</v>
      </c>
      <c r="C16" s="60">
        <f>[12]Octopus!N5</f>
        <v>275434.44</v>
      </c>
      <c r="D16" s="60">
        <f t="shared" si="1"/>
        <v>-31236.524800000014</v>
      </c>
    </row>
    <row r="17" spans="1:4" x14ac:dyDescent="0.25">
      <c r="A17" s="55" t="s">
        <v>163</v>
      </c>
      <c r="B17" s="59">
        <f>SUM([12]Adhoc!Q25:AB25)</f>
        <v>429476.61839999998</v>
      </c>
      <c r="C17" s="60">
        <f>[12]Octopus!N6</f>
        <v>392141.40000000008</v>
      </c>
      <c r="D17" s="60">
        <f t="shared" si="1"/>
        <v>-37335.218399999896</v>
      </c>
    </row>
    <row r="19" spans="1:4" x14ac:dyDescent="0.25">
      <c r="A19" t="s">
        <v>167</v>
      </c>
    </row>
    <row r="21" spans="1:4" x14ac:dyDescent="0.25">
      <c r="A21" s="55"/>
      <c r="B21" s="55" t="s">
        <v>166</v>
      </c>
      <c r="C21" s="55" t="s">
        <v>168</v>
      </c>
    </row>
    <row r="22" spans="1:4" x14ac:dyDescent="0.25">
      <c r="A22" s="55" t="s">
        <v>152</v>
      </c>
      <c r="B22" s="60">
        <f>SUM('[12]Together Energy'!B4:D4)</f>
        <v>55218.78</v>
      </c>
      <c r="C22" s="61">
        <f>SUM('[12]Together Energy'!E4:M4)</f>
        <v>165656.34</v>
      </c>
      <c r="D22" s="36"/>
    </row>
    <row r="23" spans="1:4" x14ac:dyDescent="0.25">
      <c r="A23" s="55" t="s">
        <v>161</v>
      </c>
      <c r="B23" s="60">
        <f>SUM('[12]Together Energy'!B5:D5)</f>
        <v>51746.13</v>
      </c>
      <c r="C23" s="61">
        <f>SUM('[12]Together Energy'!E5:M5)</f>
        <v>155238.38999999996</v>
      </c>
      <c r="D23" s="36"/>
    </row>
    <row r="24" spans="1:4" x14ac:dyDescent="0.25">
      <c r="A24" s="55" t="s">
        <v>162</v>
      </c>
      <c r="B24" s="60">
        <f>SUM('[12]Together Energy'!B6:D6)</f>
        <v>23634.03</v>
      </c>
      <c r="C24" s="61">
        <f>SUM('[12]Together Energy'!E6:M6)</f>
        <v>70902.090000000011</v>
      </c>
      <c r="D24" s="36"/>
    </row>
    <row r="25" spans="1:4" x14ac:dyDescent="0.25">
      <c r="A25" s="55" t="s">
        <v>163</v>
      </c>
      <c r="B25" s="60">
        <f>SUM('[12]Together Energy'!B7:D7)</f>
        <v>33735.57</v>
      </c>
      <c r="C25" s="61">
        <f>SUM('[12]Together Energy'!E7:M7)</f>
        <v>101206.71</v>
      </c>
      <c r="D25" s="36"/>
    </row>
    <row r="27" spans="1:4" x14ac:dyDescent="0.25">
      <c r="A27" t="s">
        <v>169</v>
      </c>
    </row>
    <row r="29" spans="1:4" x14ac:dyDescent="0.25">
      <c r="A29" s="55"/>
      <c r="B29" s="55" t="s">
        <v>166</v>
      </c>
      <c r="C29" s="55" t="s">
        <v>168</v>
      </c>
    </row>
    <row r="30" spans="1:4" x14ac:dyDescent="0.25">
      <c r="A30" s="55" t="s">
        <v>152</v>
      </c>
      <c r="B30" s="59"/>
      <c r="C30" s="60">
        <f>'[12]Shell Energy'!B4</f>
        <v>17329.580000000002</v>
      </c>
      <c r="D30" s="36"/>
    </row>
    <row r="31" spans="1:4" x14ac:dyDescent="0.25">
      <c r="A31" s="55" t="s">
        <v>161</v>
      </c>
      <c r="B31" s="59"/>
      <c r="C31" s="60">
        <f>'[12]Shell Energy'!B5</f>
        <v>16239.73</v>
      </c>
      <c r="D31" s="36"/>
    </row>
    <row r="32" spans="1:4" x14ac:dyDescent="0.25">
      <c r="A32" s="55" t="s">
        <v>162</v>
      </c>
      <c r="B32" s="59"/>
      <c r="C32" s="60">
        <f>'[12]Shell Energy'!B6</f>
        <v>7417.18</v>
      </c>
      <c r="D32" s="36"/>
    </row>
    <row r="33" spans="1:4" x14ac:dyDescent="0.25">
      <c r="A33" s="55" t="s">
        <v>163</v>
      </c>
      <c r="B33" s="59"/>
      <c r="C33" s="60">
        <f>'[12]Shell Energy'!B7</f>
        <v>10587.4</v>
      </c>
      <c r="D33" s="36"/>
    </row>
    <row r="35" spans="1:4" x14ac:dyDescent="0.25">
      <c r="A35" t="s">
        <v>170</v>
      </c>
    </row>
    <row r="37" spans="1:4" x14ac:dyDescent="0.25">
      <c r="A37" s="55"/>
      <c r="B37" s="55" t="s">
        <v>166</v>
      </c>
      <c r="C37" s="55" t="s">
        <v>168</v>
      </c>
    </row>
    <row r="38" spans="1:4" x14ac:dyDescent="0.25">
      <c r="A38" s="55" t="s">
        <v>152</v>
      </c>
      <c r="B38" s="59"/>
      <c r="C38" s="60">
        <f>'[12]OVO-Brilliant'!B4</f>
        <v>30372.51</v>
      </c>
    </row>
    <row r="39" spans="1:4" x14ac:dyDescent="0.25">
      <c r="A39" s="55" t="s">
        <v>161</v>
      </c>
      <c r="B39" s="59"/>
      <c r="C39" s="60">
        <f>'[12]OVO-Brilliant'!B5</f>
        <v>28467.13</v>
      </c>
    </row>
    <row r="40" spans="1:4" x14ac:dyDescent="0.25">
      <c r="A40" s="55" t="s">
        <v>162</v>
      </c>
      <c r="B40" s="59"/>
      <c r="C40" s="60">
        <f>'[12]OVO-Brilliant'!B6</f>
        <v>13020.77</v>
      </c>
    </row>
    <row r="41" spans="1:4" x14ac:dyDescent="0.25">
      <c r="A41" s="55" t="s">
        <v>163</v>
      </c>
      <c r="B41" s="59"/>
      <c r="C41" s="60">
        <f>'[12]OVO-Brilliant'!B7</f>
        <v>18561.38</v>
      </c>
    </row>
    <row r="43" spans="1:4" x14ac:dyDescent="0.25">
      <c r="A43" t="s">
        <v>171</v>
      </c>
    </row>
    <row r="45" spans="1:4" x14ac:dyDescent="0.25">
      <c r="A45" s="55"/>
      <c r="B45" s="55" t="s">
        <v>166</v>
      </c>
      <c r="C45" s="55" t="s">
        <v>168</v>
      </c>
      <c r="D45" s="55" t="s">
        <v>172</v>
      </c>
    </row>
    <row r="46" spans="1:4" x14ac:dyDescent="0.25">
      <c r="A46" s="55" t="s">
        <v>152</v>
      </c>
      <c r="B46" s="59"/>
      <c r="C46" s="60">
        <f>SUM([12]OVO!B4:I4)</f>
        <v>403612.24</v>
      </c>
      <c r="D46" s="60">
        <f>SUM([12]OVO!J4:M4)</f>
        <v>201806.12</v>
      </c>
    </row>
    <row r="47" spans="1:4" x14ac:dyDescent="0.25">
      <c r="A47" s="55" t="s">
        <v>161</v>
      </c>
      <c r="B47" s="59"/>
      <c r="C47" s="60">
        <f>SUM([12]OVO!B5:I5)</f>
        <v>378229.35999999993</v>
      </c>
      <c r="D47" s="60">
        <f>SUM([12]OVO!J5:M5)</f>
        <v>189114.68</v>
      </c>
    </row>
    <row r="48" spans="1:4" x14ac:dyDescent="0.25">
      <c r="A48" s="55" t="s">
        <v>162</v>
      </c>
      <c r="B48" s="59"/>
      <c r="C48" s="60">
        <f>SUM([12]OVO!B6:I6)</f>
        <v>172748.80000000002</v>
      </c>
      <c r="D48" s="60">
        <f>SUM([12]OVO!J6:M6)</f>
        <v>86374.399999999994</v>
      </c>
    </row>
    <row r="49" spans="1:5" x14ac:dyDescent="0.25">
      <c r="A49" s="55" t="s">
        <v>163</v>
      </c>
      <c r="B49" s="59"/>
      <c r="C49" s="60">
        <f>SUM([12]OVO!B7:I7)</f>
        <v>246584.39999999997</v>
      </c>
      <c r="D49" s="60">
        <f>SUM([12]OVO!J7:M7)</f>
        <v>123292.2</v>
      </c>
    </row>
    <row r="51" spans="1:5" x14ac:dyDescent="0.25">
      <c r="A51" t="s">
        <v>176</v>
      </c>
    </row>
    <row r="53" spans="1:5" x14ac:dyDescent="0.25">
      <c r="A53" s="55"/>
      <c r="B53" s="55" t="s">
        <v>166</v>
      </c>
      <c r="C53" s="55" t="s">
        <v>168</v>
      </c>
      <c r="D53" s="55" t="s">
        <v>172</v>
      </c>
      <c r="E53" s="55" t="s">
        <v>178</v>
      </c>
    </row>
    <row r="54" spans="1:5" x14ac:dyDescent="0.25">
      <c r="A54" s="55" t="s">
        <v>152</v>
      </c>
      <c r="B54" s="59"/>
      <c r="C54" s="60"/>
      <c r="D54" s="60">
        <f>SUM([12]EDF!B4:M4)</f>
        <v>153874.56</v>
      </c>
      <c r="E54" s="60">
        <f>SUM([12]EDF!O4:O4)</f>
        <v>51291.519999999997</v>
      </c>
    </row>
    <row r="55" spans="1:5" x14ac:dyDescent="0.25">
      <c r="A55" s="55" t="s">
        <v>161</v>
      </c>
      <c r="B55" s="59"/>
      <c r="C55" s="60"/>
      <c r="D55" s="60">
        <f>SUM([12]EDF!B5:M5)</f>
        <v>144221.40000000002</v>
      </c>
      <c r="E55" s="60">
        <f>SUM([12]EDF!O5:O5)</f>
        <v>48073.8</v>
      </c>
    </row>
    <row r="56" spans="1:5" x14ac:dyDescent="0.25">
      <c r="A56" s="55" t="s">
        <v>162</v>
      </c>
      <c r="B56" s="59"/>
      <c r="C56" s="60"/>
      <c r="D56" s="60">
        <f>SUM([12]EDF!B6:M6)</f>
        <v>65966.384999999995</v>
      </c>
      <c r="E56" s="60">
        <f>SUM([12]EDF!O6:O6)</f>
        <v>21988.794999999998</v>
      </c>
    </row>
    <row r="57" spans="1:5" x14ac:dyDescent="0.25">
      <c r="A57" s="55" t="s">
        <v>163</v>
      </c>
      <c r="B57" s="59"/>
      <c r="C57" s="60"/>
      <c r="D57" s="60">
        <f>SUM([12]EDF!B7:M7)</f>
        <v>94036.47</v>
      </c>
      <c r="E57" s="60">
        <f>SUM([12]EDF!O7:O7)</f>
        <v>31345.49</v>
      </c>
    </row>
    <row r="59" spans="1:5" x14ac:dyDescent="0.25">
      <c r="A59" t="s">
        <v>177</v>
      </c>
    </row>
    <row r="61" spans="1:5" x14ac:dyDescent="0.25">
      <c r="A61" s="55"/>
      <c r="B61" s="55" t="s">
        <v>166</v>
      </c>
      <c r="C61" s="55" t="s">
        <v>168</v>
      </c>
      <c r="D61" s="55" t="s">
        <v>172</v>
      </c>
      <c r="E61" s="55" t="s">
        <v>178</v>
      </c>
    </row>
    <row r="62" spans="1:5" x14ac:dyDescent="0.25">
      <c r="A62" s="55" t="s">
        <v>152</v>
      </c>
      <c r="B62" s="59"/>
      <c r="C62" s="60"/>
      <c r="D62" s="66">
        <f>SUM('[12]SP Extra'!B4:L4)</f>
        <v>473708.90416666656</v>
      </c>
      <c r="E62" s="66">
        <f>'[12]SP Extra'!M4</f>
        <v>43064.445833333331</v>
      </c>
    </row>
    <row r="63" spans="1:5" x14ac:dyDescent="0.25">
      <c r="A63" s="55" t="s">
        <v>161</v>
      </c>
      <c r="B63" s="59"/>
      <c r="C63" s="60"/>
      <c r="D63" s="66">
        <f>SUM('[12]SP Extra'!B5:L5)</f>
        <v>443991.26750000007</v>
      </c>
      <c r="E63" s="66">
        <f>'[12]SP Extra'!M5</f>
        <v>40362.842499999999</v>
      </c>
    </row>
    <row r="64" spans="1:5" x14ac:dyDescent="0.25">
      <c r="A64" s="55" t="s">
        <v>162</v>
      </c>
      <c r="B64" s="59"/>
      <c r="C64" s="60"/>
      <c r="D64" s="66">
        <f>SUM('[12]SP Extra'!B6:L6)</f>
        <v>203080.12083333332</v>
      </c>
      <c r="E64" s="66">
        <f>'[12]SP Extra'!M6</f>
        <v>18461.829166666666</v>
      </c>
    </row>
    <row r="65" spans="1:10" x14ac:dyDescent="0.25">
      <c r="A65" s="55" t="s">
        <v>163</v>
      </c>
      <c r="B65" s="59"/>
      <c r="C65" s="60"/>
      <c r="D65" s="66">
        <f>SUM('[12]SP Extra'!B7:L7)</f>
        <v>289494.97499999998</v>
      </c>
      <c r="E65" s="66">
        <f>'[12]SP Extra'!M7</f>
        <v>26317.725000000002</v>
      </c>
    </row>
    <row r="67" spans="1:10" x14ac:dyDescent="0.25">
      <c r="A67" t="s">
        <v>197</v>
      </c>
    </row>
    <row r="69" spans="1:10" x14ac:dyDescent="0.25">
      <c r="A69" s="55" t="s">
        <v>186</v>
      </c>
      <c r="B69" s="55" t="s">
        <v>187</v>
      </c>
      <c r="C69" s="55" t="s">
        <v>187</v>
      </c>
      <c r="D69" s="55" t="s">
        <v>187</v>
      </c>
      <c r="E69" s="55" t="s">
        <v>187</v>
      </c>
      <c r="F69" s="55" t="s">
        <v>187</v>
      </c>
      <c r="G69" s="55" t="s">
        <v>187</v>
      </c>
      <c r="H69" s="55" t="s">
        <v>187</v>
      </c>
      <c r="I69" s="55" t="s">
        <v>187</v>
      </c>
    </row>
    <row r="70" spans="1:10" x14ac:dyDescent="0.25">
      <c r="A70" s="55"/>
      <c r="B70" s="55" t="s">
        <v>188</v>
      </c>
      <c r="C70" s="55" t="s">
        <v>189</v>
      </c>
      <c r="D70" s="55" t="s">
        <v>190</v>
      </c>
      <c r="E70" s="55" t="s">
        <v>191</v>
      </c>
      <c r="F70" s="55" t="s">
        <v>192</v>
      </c>
      <c r="G70" s="55" t="s">
        <v>193</v>
      </c>
      <c r="H70" s="55" t="s">
        <v>194</v>
      </c>
      <c r="I70" s="55" t="s">
        <v>195</v>
      </c>
    </row>
    <row r="71" spans="1:10" x14ac:dyDescent="0.25">
      <c r="A71" s="55" t="s">
        <v>163</v>
      </c>
      <c r="B71" s="66">
        <v>30970.789999999997</v>
      </c>
      <c r="C71" s="66">
        <v>72018.929999999993</v>
      </c>
      <c r="D71" s="66">
        <v>135428.53</v>
      </c>
      <c r="E71" s="66">
        <v>77450.210000000006</v>
      </c>
      <c r="F71" s="66">
        <v>391226.93</v>
      </c>
      <c r="G71" s="66">
        <v>238849.46</v>
      </c>
      <c r="H71" s="66">
        <v>70605.350000000006</v>
      </c>
      <c r="I71" s="66">
        <v>4230.37</v>
      </c>
    </row>
    <row r="72" spans="1:10" x14ac:dyDescent="0.25">
      <c r="A72" s="55" t="s">
        <v>162</v>
      </c>
      <c r="B72" s="66">
        <v>21707.14</v>
      </c>
      <c r="C72" s="66">
        <v>50477.41</v>
      </c>
      <c r="D72" s="66">
        <v>95301.55</v>
      </c>
      <c r="E72" s="66">
        <v>54502.01</v>
      </c>
      <c r="F72" s="66">
        <v>275307.84000000003</v>
      </c>
      <c r="G72" s="66">
        <v>168079.24999999997</v>
      </c>
      <c r="H72" s="66">
        <v>49685.25</v>
      </c>
      <c r="I72" s="66">
        <v>2976.92</v>
      </c>
    </row>
    <row r="73" spans="1:10" x14ac:dyDescent="0.25">
      <c r="A73" s="55" t="s">
        <v>152</v>
      </c>
      <c r="B73" s="66">
        <v>50607.86</v>
      </c>
      <c r="C73" s="66">
        <v>117682.63</v>
      </c>
      <c r="D73" s="66">
        <v>223206.27</v>
      </c>
      <c r="E73" s="66">
        <v>127649.41</v>
      </c>
      <c r="F73" s="66">
        <v>644799.94000000006</v>
      </c>
      <c r="G73" s="66">
        <v>393659.3</v>
      </c>
      <c r="H73" s="66">
        <v>116368.07</v>
      </c>
      <c r="I73" s="66">
        <v>6972.27</v>
      </c>
    </row>
    <row r="74" spans="1:10" x14ac:dyDescent="0.25">
      <c r="A74" s="55" t="s">
        <v>161</v>
      </c>
      <c r="B74" s="66">
        <v>47395.88</v>
      </c>
      <c r="C74" s="66">
        <v>110213.56</v>
      </c>
      <c r="D74" s="66">
        <v>208158.66</v>
      </c>
      <c r="E74" s="66">
        <v>119043.84</v>
      </c>
      <c r="F74" s="66">
        <v>601330.28</v>
      </c>
      <c r="G74" s="66">
        <v>367120.47</v>
      </c>
      <c r="H74" s="66">
        <v>108523.04</v>
      </c>
      <c r="I74" s="66">
        <v>6502.23</v>
      </c>
    </row>
    <row r="75" spans="1:10" x14ac:dyDescent="0.25">
      <c r="A75" s="55" t="s">
        <v>196</v>
      </c>
      <c r="B75" s="66">
        <f>SUM(B71:B74)</f>
        <v>150681.66999999998</v>
      </c>
      <c r="C75" s="66">
        <f t="shared" ref="C75:I75" si="2">SUM(C71:C74)</f>
        <v>350392.53</v>
      </c>
      <c r="D75" s="66">
        <f t="shared" si="2"/>
        <v>662095.01</v>
      </c>
      <c r="E75" s="66">
        <f t="shared" si="2"/>
        <v>378645.47</v>
      </c>
      <c r="F75" s="66">
        <f t="shared" si="2"/>
        <v>1912664.99</v>
      </c>
      <c r="G75" s="66">
        <f t="shared" si="2"/>
        <v>1167708.48</v>
      </c>
      <c r="H75" s="66">
        <f t="shared" si="2"/>
        <v>345181.71</v>
      </c>
      <c r="I75" s="66">
        <f t="shared" si="2"/>
        <v>20681.79</v>
      </c>
    </row>
    <row r="77" spans="1:10" x14ac:dyDescent="0.25">
      <c r="A77" t="s">
        <v>198</v>
      </c>
    </row>
    <row r="79" spans="1:10" x14ac:dyDescent="0.25">
      <c r="A79" s="55" t="s">
        <v>186</v>
      </c>
      <c r="B79" s="55" t="s">
        <v>199</v>
      </c>
      <c r="C79" s="55" t="s">
        <v>199</v>
      </c>
      <c r="D79" s="55" t="s">
        <v>199</v>
      </c>
      <c r="E79" s="55" t="s">
        <v>199</v>
      </c>
      <c r="F79" s="55" t="s">
        <v>199</v>
      </c>
      <c r="G79" s="55" t="s">
        <v>199</v>
      </c>
      <c r="H79" s="55" t="s">
        <v>199</v>
      </c>
      <c r="I79" s="55" t="s">
        <v>199</v>
      </c>
      <c r="J79" s="55" t="s">
        <v>199</v>
      </c>
    </row>
    <row r="80" spans="1:10" x14ac:dyDescent="0.25">
      <c r="A80" s="55"/>
      <c r="B80" s="55" t="s">
        <v>200</v>
      </c>
      <c r="C80" s="55" t="s">
        <v>201</v>
      </c>
      <c r="D80" s="55" t="s">
        <v>202</v>
      </c>
      <c r="E80" s="55" t="s">
        <v>203</v>
      </c>
      <c r="F80" s="55" t="s">
        <v>204</v>
      </c>
      <c r="G80" s="55" t="s">
        <v>205</v>
      </c>
      <c r="H80" s="55" t="s">
        <v>206</v>
      </c>
      <c r="I80" s="55" t="s">
        <v>207</v>
      </c>
      <c r="J80" s="55" t="s">
        <v>208</v>
      </c>
    </row>
    <row r="81" spans="1:10" x14ac:dyDescent="0.25">
      <c r="A81" s="55" t="s">
        <v>163</v>
      </c>
      <c r="B81" s="66">
        <v>4862212.03</v>
      </c>
      <c r="C81" s="66">
        <v>1706745.54</v>
      </c>
      <c r="D81" s="66">
        <v>8392816.7899999991</v>
      </c>
      <c r="E81" s="66">
        <v>1227290.03</v>
      </c>
      <c r="F81" s="66">
        <v>5855826.5300000003</v>
      </c>
      <c r="G81" s="66">
        <v>4886172.92</v>
      </c>
      <c r="H81" s="66">
        <v>1762922.37</v>
      </c>
      <c r="I81" s="66">
        <v>4616334.53</v>
      </c>
      <c r="J81" s="66">
        <v>20237087.890000001</v>
      </c>
    </row>
    <row r="82" spans="1:10" x14ac:dyDescent="0.25">
      <c r="A82" s="55" t="s">
        <v>162</v>
      </c>
      <c r="B82" s="66">
        <v>3421556.62</v>
      </c>
      <c r="C82" s="66">
        <v>1201043.1599999999</v>
      </c>
      <c r="D82" s="66">
        <v>5906056.2599999998</v>
      </c>
      <c r="E82" s="66">
        <v>863648.54</v>
      </c>
      <c r="F82" s="66">
        <v>4120766.82</v>
      </c>
      <c r="G82" s="66">
        <v>3438417.98</v>
      </c>
      <c r="H82" s="66">
        <v>1240575</v>
      </c>
      <c r="I82" s="66">
        <v>3248531.71</v>
      </c>
      <c r="J82" s="66">
        <v>14240913.699999999</v>
      </c>
    </row>
    <row r="83" spans="1:10" x14ac:dyDescent="0.25">
      <c r="A83" s="55" t="s">
        <v>152</v>
      </c>
      <c r="B83" s="66">
        <v>8013645.7599999998</v>
      </c>
      <c r="C83" s="66">
        <v>2812969.5</v>
      </c>
      <c r="D83" s="66">
        <v>13832605.460000001</v>
      </c>
      <c r="E83" s="66">
        <v>2022755.79</v>
      </c>
      <c r="F83" s="66">
        <v>9651269.6600000001</v>
      </c>
      <c r="G83" s="66">
        <v>8053136.8499999996</v>
      </c>
      <c r="H83" s="66">
        <v>2905557.23</v>
      </c>
      <c r="I83" s="66">
        <v>7608403.21</v>
      </c>
      <c r="J83" s="66">
        <v>33353718.93</v>
      </c>
    </row>
    <row r="84" spans="1:10" x14ac:dyDescent="0.25">
      <c r="A84" s="55" t="s">
        <v>161</v>
      </c>
      <c r="B84" s="66">
        <v>7473399.9800000004</v>
      </c>
      <c r="C84" s="66">
        <v>2623331.11</v>
      </c>
      <c r="D84" s="66">
        <v>12900070.26</v>
      </c>
      <c r="E84" s="66">
        <v>1886390.23</v>
      </c>
      <c r="F84" s="66">
        <v>9000622.2699999996</v>
      </c>
      <c r="G84" s="66">
        <v>7510228.75</v>
      </c>
      <c r="H84" s="66">
        <v>2709676.97</v>
      </c>
      <c r="I84" s="66">
        <v>7095477.1500000004</v>
      </c>
      <c r="J84" s="66">
        <v>31105153.600000001</v>
      </c>
    </row>
    <row r="85" spans="1:10" x14ac:dyDescent="0.25">
      <c r="A85" s="55" t="s">
        <v>196</v>
      </c>
      <c r="B85" s="66">
        <f>SUM(B81:B84)</f>
        <v>23770814.390000001</v>
      </c>
      <c r="C85" s="66">
        <f t="shared" ref="C85:J85" si="3">SUM(C81:C84)</f>
        <v>8344089.3100000005</v>
      </c>
      <c r="D85" s="66">
        <f t="shared" si="3"/>
        <v>41031548.769999996</v>
      </c>
      <c r="E85" s="66">
        <f t="shared" si="3"/>
        <v>6000084.5899999999</v>
      </c>
      <c r="F85" s="66">
        <f t="shared" si="3"/>
        <v>28628485.279999997</v>
      </c>
      <c r="G85" s="66">
        <f t="shared" si="3"/>
        <v>23887956.5</v>
      </c>
      <c r="H85" s="66">
        <f t="shared" si="3"/>
        <v>8618731.5700000003</v>
      </c>
      <c r="I85" s="66">
        <f t="shared" si="3"/>
        <v>22568746.600000001</v>
      </c>
      <c r="J85" s="66">
        <f t="shared" si="3"/>
        <v>98936874.120000005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SOLR</vt:lpstr>
      <vt:lpstr>Table3!Print_Area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cp:lastPrinted>2019-12-02T14:21:52Z</cp:lastPrinted>
  <dcterms:created xsi:type="dcterms:W3CDTF">2016-04-08T13:02:22Z</dcterms:created>
  <dcterms:modified xsi:type="dcterms:W3CDTF">2022-07-20T09:40:49Z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