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S:\Governance Services\DCUSA\Change Management\DCUSA Change Proposals\DCP_420\01. Meetings\08. 16 May 2024\"/>
    </mc:Choice>
  </mc:AlternateContent>
  <xr:revisionPtr revIDLastSave="0" documentId="8_{8E4C1012-08A2-4F83-98E4-4C999973018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" l="1"/>
  <c r="B25" i="1"/>
  <c r="B23" i="1"/>
  <c r="B21" i="1"/>
  <c r="B19" i="1"/>
  <c r="B17" i="1"/>
  <c r="B15" i="1"/>
  <c r="B13" i="1"/>
  <c r="B11" i="1"/>
  <c r="B9" i="1"/>
  <c r="B7" i="1"/>
  <c r="B5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 l="1"/>
  <c r="T22" i="1"/>
  <c r="S22" i="1"/>
  <c r="S24" i="1" s="1"/>
  <c r="R22" i="1"/>
  <c r="Q22" i="1"/>
  <c r="T14" i="1"/>
  <c r="T16" i="1" s="1"/>
  <c r="R14" i="1"/>
  <c r="Q14" i="1"/>
  <c r="R6" i="1"/>
  <c r="R8" i="1" s="1"/>
  <c r="R10" i="1" s="1"/>
  <c r="S6" i="1"/>
  <c r="S8" i="1" s="1"/>
  <c r="T6" i="1"/>
  <c r="T8" i="1" s="1"/>
  <c r="Q6" i="1"/>
  <c r="Q8" i="1" s="1"/>
  <c r="Q10" i="1" s="1"/>
  <c r="M12" i="1"/>
  <c r="M4" i="1"/>
  <c r="M20" i="1" l="1"/>
  <c r="L12" i="1"/>
  <c r="N12" i="1"/>
  <c r="S14" i="1"/>
  <c r="S16" i="1" s="1"/>
  <c r="S18" i="1" s="1"/>
  <c r="N18" i="1" s="1"/>
  <c r="O12" i="1"/>
  <c r="L4" i="1"/>
  <c r="L14" i="1"/>
  <c r="N8" i="1"/>
  <c r="S10" i="1"/>
  <c r="N10" i="1" s="1"/>
  <c r="O8" i="1"/>
  <c r="T10" i="1"/>
  <c r="O10" i="1" s="1"/>
  <c r="R16" i="1"/>
  <c r="M16" i="1" s="1"/>
  <c r="M14" i="1"/>
  <c r="L8" i="1"/>
  <c r="M8" i="1"/>
  <c r="L6" i="1"/>
  <c r="O20" i="1"/>
  <c r="M10" i="1"/>
  <c r="N4" i="1"/>
  <c r="O6" i="1"/>
  <c r="O4" i="1"/>
  <c r="M6" i="1"/>
  <c r="N6" i="1"/>
  <c r="N20" i="1"/>
  <c r="L10" i="1"/>
  <c r="T24" i="1"/>
  <c r="O22" i="1"/>
  <c r="L22" i="1"/>
  <c r="Q24" i="1"/>
  <c r="S26" i="1"/>
  <c r="N26" i="1" s="1"/>
  <c r="N24" i="1"/>
  <c r="M22" i="1"/>
  <c r="R24" i="1"/>
  <c r="N22" i="1"/>
  <c r="L20" i="1"/>
  <c r="O16" i="1"/>
  <c r="T18" i="1"/>
  <c r="O18" i="1" s="1"/>
  <c r="R18" i="1"/>
  <c r="M18" i="1" s="1"/>
  <c r="Q16" i="1"/>
  <c r="O14" i="1"/>
  <c r="U20" i="1" l="1"/>
  <c r="AA20" i="1"/>
  <c r="U12" i="1"/>
  <c r="AA12" i="1"/>
  <c r="U10" i="1"/>
  <c r="AA10" i="1"/>
  <c r="U6" i="1"/>
  <c r="AA6" i="1"/>
  <c r="U14" i="1"/>
  <c r="AA14" i="1"/>
  <c r="U22" i="1"/>
  <c r="AA22" i="1"/>
  <c r="U8" i="1"/>
  <c r="AA8" i="1"/>
  <c r="U4" i="1"/>
  <c r="AA4" i="1"/>
  <c r="N16" i="1"/>
  <c r="P16" i="1" s="1"/>
  <c r="P20" i="1"/>
  <c r="P12" i="1"/>
  <c r="V13" i="1" s="1"/>
  <c r="P4" i="1"/>
  <c r="N14" i="1"/>
  <c r="P14" i="1" s="1"/>
  <c r="V15" i="1" s="1"/>
  <c r="P22" i="1"/>
  <c r="P18" i="1"/>
  <c r="P10" i="1"/>
  <c r="V11" i="1" s="1"/>
  <c r="P6" i="1"/>
  <c r="P8" i="1"/>
  <c r="R26" i="1"/>
  <c r="M26" i="1" s="1"/>
  <c r="M24" i="1"/>
  <c r="Q26" i="1"/>
  <c r="L26" i="1" s="1"/>
  <c r="L24" i="1"/>
  <c r="T26" i="1"/>
  <c r="O26" i="1" s="1"/>
  <c r="O24" i="1"/>
  <c r="Q18" i="1"/>
  <c r="L18" i="1" s="1"/>
  <c r="L16" i="1"/>
  <c r="V7" i="1" l="1"/>
  <c r="U24" i="1"/>
  <c r="AA24" i="1"/>
  <c r="V14" i="1"/>
  <c r="X14" i="1" s="1"/>
  <c r="AB14" i="1" s="1"/>
  <c r="V6" i="1"/>
  <c r="X6" i="1" s="1"/>
  <c r="AB6" i="1" s="1"/>
  <c r="V12" i="1"/>
  <c r="X12" i="1" s="1"/>
  <c r="AB12" i="1" s="1"/>
  <c r="V10" i="1"/>
  <c r="X10" i="1" s="1"/>
  <c r="AB10" i="1" s="1"/>
  <c r="U26" i="1"/>
  <c r="AA26" i="1"/>
  <c r="V5" i="1"/>
  <c r="U16" i="1"/>
  <c r="V17" i="1" s="1"/>
  <c r="AA16" i="1"/>
  <c r="V9" i="1"/>
  <c r="V21" i="1"/>
  <c r="U18" i="1"/>
  <c r="V19" i="1" s="1"/>
  <c r="AA18" i="1"/>
  <c r="P24" i="1"/>
  <c r="V23" i="1"/>
  <c r="P26" i="1"/>
  <c r="V27" i="1" l="1"/>
  <c r="V20" i="1"/>
  <c r="X20" i="1" s="1"/>
  <c r="AB20" i="1" s="1"/>
  <c r="V16" i="1"/>
  <c r="X16" i="1" s="1"/>
  <c r="AB16" i="1" s="1"/>
  <c r="V8" i="1"/>
  <c r="X8" i="1" s="1"/>
  <c r="AB8" i="1" s="1"/>
  <c r="V25" i="1"/>
  <c r="V4" i="1"/>
  <c r="X4" i="1" s="1"/>
  <c r="AB4" i="1" s="1"/>
  <c r="V26" i="1"/>
  <c r="X26" i="1" s="1"/>
  <c r="AB26" i="1" s="1"/>
  <c r="V22" i="1"/>
  <c r="X22" i="1" s="1"/>
  <c r="AB22" i="1" s="1"/>
  <c r="V18" i="1"/>
  <c r="X18" i="1" s="1"/>
  <c r="AB18" i="1" s="1"/>
  <c r="V24" i="1" l="1"/>
  <c r="X24" i="1" s="1"/>
  <c r="AB24" i="1" s="1"/>
  <c r="K5" i="1" l="1"/>
  <c r="J5" i="1"/>
  <c r="I5" i="1"/>
  <c r="H5" i="1"/>
  <c r="G5" i="1"/>
  <c r="F5" i="1"/>
  <c r="E5" i="1"/>
  <c r="D5" i="1"/>
  <c r="C5" i="1"/>
  <c r="K7" i="1"/>
  <c r="J7" i="1"/>
  <c r="I7" i="1"/>
  <c r="H7" i="1"/>
  <c r="G7" i="1"/>
  <c r="F7" i="1"/>
  <c r="E7" i="1"/>
  <c r="D7" i="1"/>
  <c r="C7" i="1"/>
  <c r="K9" i="1"/>
  <c r="J9" i="1"/>
  <c r="I9" i="1"/>
  <c r="H9" i="1"/>
  <c r="G9" i="1"/>
  <c r="F9" i="1"/>
  <c r="E9" i="1"/>
  <c r="D9" i="1"/>
  <c r="C9" i="1"/>
  <c r="K11" i="1"/>
  <c r="J11" i="1"/>
  <c r="I11" i="1"/>
  <c r="H11" i="1"/>
  <c r="G11" i="1"/>
  <c r="F11" i="1"/>
  <c r="E11" i="1"/>
  <c r="D11" i="1"/>
  <c r="C11" i="1"/>
  <c r="K13" i="1"/>
  <c r="J13" i="1"/>
  <c r="I13" i="1"/>
  <c r="H13" i="1"/>
  <c r="G13" i="1"/>
  <c r="F13" i="1"/>
  <c r="E13" i="1"/>
  <c r="D13" i="1"/>
  <c r="C13" i="1"/>
  <c r="K15" i="1"/>
  <c r="J15" i="1"/>
  <c r="I15" i="1"/>
  <c r="H15" i="1"/>
  <c r="G15" i="1"/>
  <c r="F15" i="1"/>
  <c r="E15" i="1"/>
  <c r="D15" i="1"/>
  <c r="C15" i="1"/>
  <c r="K17" i="1"/>
  <c r="J17" i="1"/>
  <c r="I17" i="1"/>
  <c r="H17" i="1"/>
  <c r="G17" i="1"/>
  <c r="F17" i="1"/>
  <c r="E17" i="1"/>
  <c r="D17" i="1"/>
  <c r="C17" i="1"/>
  <c r="K19" i="1"/>
  <c r="J19" i="1"/>
  <c r="I19" i="1"/>
  <c r="H19" i="1"/>
  <c r="G19" i="1"/>
  <c r="F19" i="1"/>
  <c r="E19" i="1"/>
  <c r="D19" i="1"/>
  <c r="C19" i="1"/>
  <c r="K21" i="1"/>
  <c r="J21" i="1"/>
  <c r="I21" i="1"/>
  <c r="H21" i="1"/>
  <c r="G21" i="1"/>
  <c r="F21" i="1"/>
  <c r="E21" i="1"/>
  <c r="D21" i="1"/>
  <c r="C21" i="1"/>
  <c r="K23" i="1"/>
  <c r="J23" i="1"/>
  <c r="I23" i="1"/>
  <c r="H23" i="1"/>
  <c r="G23" i="1"/>
  <c r="F23" i="1"/>
  <c r="E23" i="1"/>
  <c r="D23" i="1"/>
  <c r="C23" i="1"/>
  <c r="K25" i="1"/>
  <c r="J25" i="1"/>
  <c r="I25" i="1"/>
  <c r="H25" i="1"/>
  <c r="G25" i="1"/>
  <c r="F25" i="1"/>
  <c r="E25" i="1"/>
  <c r="D25" i="1"/>
  <c r="C25" i="1"/>
  <c r="K27" i="1"/>
  <c r="J27" i="1"/>
  <c r="I27" i="1"/>
  <c r="H27" i="1"/>
  <c r="G27" i="1"/>
  <c r="F27" i="1"/>
  <c r="E27" i="1"/>
  <c r="D27" i="1"/>
  <c r="C27" i="1"/>
  <c r="X25" i="1" l="1"/>
  <c r="X17" i="1"/>
  <c r="X9" i="1"/>
  <c r="X15" i="1"/>
  <c r="X7" i="1"/>
  <c r="X23" i="1"/>
  <c r="X21" i="1"/>
  <c r="X13" i="1"/>
  <c r="X5" i="1"/>
  <c r="X27" i="1"/>
  <c r="X19" i="1"/>
  <c r="X11" i="1"/>
  <c r="AB13" i="1" l="1"/>
  <c r="AC13" i="1" s="1"/>
  <c r="Z13" i="1"/>
  <c r="Z15" i="1"/>
  <c r="AB15" i="1"/>
  <c r="AC15" i="1" s="1"/>
  <c r="Z19" i="1"/>
  <c r="AB19" i="1"/>
  <c r="AC19" i="1" s="1"/>
  <c r="AB9" i="1"/>
  <c r="AC9" i="1" s="1"/>
  <c r="Z9" i="1"/>
  <c r="AB21" i="1"/>
  <c r="AC21" i="1" s="1"/>
  <c r="Z21" i="1"/>
  <c r="Z27" i="1"/>
  <c r="AB27" i="1"/>
  <c r="AC27" i="1" s="1"/>
  <c r="AB17" i="1"/>
  <c r="AC17" i="1" s="1"/>
  <c r="Z17" i="1"/>
  <c r="Z23" i="1"/>
  <c r="AB23" i="1"/>
  <c r="AC23" i="1" s="1"/>
  <c r="AB5" i="1"/>
  <c r="AC5" i="1" s="1"/>
  <c r="Z5" i="1"/>
  <c r="AB25" i="1"/>
  <c r="AC25" i="1" s="1"/>
  <c r="Z25" i="1"/>
  <c r="Z11" i="1"/>
  <c r="AB11" i="1"/>
  <c r="AC11" i="1" s="1"/>
  <c r="AB7" i="1"/>
  <c r="AC7" i="1" s="1"/>
  <c r="Z7" i="1"/>
</calcChain>
</file>

<file path=xl/sharedStrings.xml><?xml version="1.0" encoding="utf-8"?>
<sst xmlns="http://schemas.openxmlformats.org/spreadsheetml/2006/main" count="77" uniqueCount="47">
  <si>
    <t>LV Site Specific Band 1</t>
  </si>
  <si>
    <t>LV Site Specific Band 2</t>
  </si>
  <si>
    <t>L02</t>
  </si>
  <si>
    <t>LV Site Specific Band 3</t>
  </si>
  <si>
    <t>L03</t>
  </si>
  <si>
    <t>LV Site Specific Band 4</t>
  </si>
  <si>
    <t>L04</t>
  </si>
  <si>
    <t>LV Sub Site Specific Band 1</t>
  </si>
  <si>
    <t>LV Sub Site Specific Band 2</t>
  </si>
  <si>
    <t>S02</t>
  </si>
  <si>
    <t>LV Sub Site Specific Band 3</t>
  </si>
  <si>
    <t>S03</t>
  </si>
  <si>
    <t>LV Sub Site Specific Band 4</t>
  </si>
  <si>
    <t>S04</t>
  </si>
  <si>
    <t>HV Site Specific Band 1</t>
  </si>
  <si>
    <t>HV Site Specific Band 2</t>
  </si>
  <si>
    <t>H02</t>
  </si>
  <si>
    <t>HV Site Specific Band 3</t>
  </si>
  <si>
    <t>H03</t>
  </si>
  <si>
    <t>HV Site Specific Band 4</t>
  </si>
  <si>
    <t>H04</t>
  </si>
  <si>
    <t>Tariff name</t>
  </si>
  <si>
    <t>Open LLFCs</t>
  </si>
  <si>
    <t>PCs</t>
  </si>
  <si>
    <t>Red/black unit charge
p/kWh</t>
  </si>
  <si>
    <t>Amber/yellow unit charge
p/kWh</t>
  </si>
  <si>
    <t>Green unit charge
p/kWh</t>
  </si>
  <si>
    <t>Fixed charge p/MPAN/day</t>
  </si>
  <si>
    <t>Capacity charge p/kVA/day</t>
  </si>
  <si>
    <t>Exceeded capacity charge
p/kVA/day</t>
  </si>
  <si>
    <t>Reactive power charge
p/kVArh</t>
  </si>
  <si>
    <t>MPANs</t>
  </si>
  <si>
    <t>Unit 1</t>
  </si>
  <si>
    <t>Unit 2</t>
  </si>
  <si>
    <t>Unit 3</t>
  </si>
  <si>
    <t>MWH</t>
  </si>
  <si>
    <t>Current Forecast in the CDCM</t>
  </si>
  <si>
    <t>Adjusted for EVs</t>
  </si>
  <si>
    <t>Sum units</t>
  </si>
  <si>
    <t>Check</t>
  </si>
  <si>
    <t>TCR Rev</t>
  </si>
  <si>
    <t>New Rev</t>
  </si>
  <si>
    <t>TCR Residual Charge p/MPAN/day</t>
  </si>
  <si>
    <t>New residual Charge p/MPAN/day</t>
  </si>
  <si>
    <t>LV Site Specific</t>
  </si>
  <si>
    <t>LV Sub Site Specific</t>
  </si>
  <si>
    <t>HV Site Specific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</si>
</sst>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;\-0.000;;@\,"/>
    <numFmt numFmtId="165" formatCode="0.00;\-0.00;;@\,"/>
    <numFmt numFmtId="166" formatCode="_-* #,##0_-;\-* #,##0_-;_-* &quot;-&quot;??_-;_-@_-"/>
    <numFmt numFmtId="167" formatCode="0.00_ ;\-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2" fillId="2" borderId="1" xfId="0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4" fillId="4" borderId="1" xfId="0" applyNumberFormat="1" applyFont="1" applyFill="1" applyBorder="1" applyAlignment="1" applyProtection="1">
      <alignment horizontal="center" vertical="center"/>
      <protection locked="0"/>
    </xf>
    <xf numFmtId="164" fontId="3" fillId="5" borderId="1" xfId="0" applyNumberFormat="1" applyFont="1" applyFill="1" applyBorder="1" applyAlignment="1" applyProtection="1">
      <alignment horizontal="center" vertical="center"/>
      <protection locked="0"/>
    </xf>
    <xf numFmtId="164" fontId="4" fillId="6" borderId="1" xfId="0" applyNumberFormat="1" applyFont="1" applyFill="1" applyBorder="1" applyAlignment="1" applyProtection="1">
      <alignment horizontal="center" vertical="center"/>
      <protection locked="0"/>
    </xf>
    <xf numFmtId="165" fontId="3" fillId="7" borderId="1" xfId="0" applyNumberFormat="1" applyFont="1" applyFill="1" applyBorder="1" applyAlignment="1" applyProtection="1">
      <alignment horizontal="center" vertical="center"/>
      <protection locked="0"/>
    </xf>
    <xf numFmtId="165" fontId="3" fillId="7" borderId="1" xfId="0" applyNumberFormat="1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3" quotePrefix="1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0" fillId="6" borderId="0" xfId="1" applyNumberFormat="1" applyFont="1" applyFill="1"/>
    <xf numFmtId="0" fontId="0" fillId="0" borderId="1" xfId="0" applyBorder="1"/>
    <xf numFmtId="1" fontId="0" fillId="0" borderId="1" xfId="0" applyNumberFormat="1" applyBorder="1"/>
    <xf numFmtId="2" fontId="0" fillId="0" borderId="1" xfId="0" applyNumberFormat="1" applyBorder="1"/>
    <xf numFmtId="166" fontId="0" fillId="0" borderId="1" xfId="1" applyNumberFormat="1" applyFont="1" applyBorder="1"/>
    <xf numFmtId="9" fontId="0" fillId="0" borderId="1" xfId="2" applyFont="1" applyBorder="1"/>
    <xf numFmtId="167" fontId="0" fillId="0" borderId="0" xfId="0" applyNumberFormat="1"/>
  </cellXfs>
  <cellStyles count="4">
    <cellStyle name="Comma" xfId="1" builtinId="3"/>
    <cellStyle name="Normal" xfId="0" builtinId="0"/>
    <cellStyle name="Normal 2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RevApr25\Charging%20Models%20From%20DCUSA\Broken%20Links\CDCM_v10_20231106%20SWE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RevApr25\Publish\01%20-%20Original%20LC14%20published%20Dec%2023\Excel\Residual%20Bands%20NGED%20April%202025%20for%20publis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Version control"/>
      <sheetName val="Model map"/>
      <sheetName val="Index"/>
      <sheetName val="Named ranges"/>
      <sheetName val="Fixed inputs"/>
      <sheetName val="Inputs by customer type"/>
      <sheetName val="Inputs by network level"/>
      <sheetName val="General inputs"/>
      <sheetName val="Standing charge factors"/>
      <sheetName val="Load &amp; loss characteristics"/>
      <sheetName val="Customer contributions"/>
      <sheetName val="Volume adjustments"/>
      <sheetName val="Pseudo-load coefficients"/>
      <sheetName val="System peak demand"/>
      <sheetName val="Service model assets"/>
      <sheetName val="Unit costs"/>
      <sheetName val="Initial unit rates"/>
      <sheetName val="Service model charges"/>
      <sheetName val="Unit rate charges"/>
      <sheetName val="Capacity charges"/>
      <sheetName val="Reactive power charges"/>
      <sheetName val="Fixed charges"/>
      <sheetName val="SoLR &amp; bad debt adders"/>
      <sheetName val="Revenue matching"/>
      <sheetName val="Rounding"/>
      <sheetName val="Net revenue summary"/>
      <sheetName val="Tariff summary"/>
      <sheetName val="Output to other models"/>
    </sheetNames>
    <sheetDataSet>
      <sheetData sheetId="0"/>
      <sheetData sheetId="1"/>
      <sheetData sheetId="2"/>
      <sheetData sheetId="3"/>
      <sheetData sheetId="4"/>
      <sheetData sheetId="5"/>
      <sheetData sheetId="6">
        <row r="5">
          <cell r="N5" t="str">
            <v>LV Site Specific</v>
          </cell>
          <cell r="O5" t="str">
            <v>LV Sub Site Specific</v>
          </cell>
          <cell r="P5" t="str">
            <v>HV Site Specific</v>
          </cell>
        </row>
        <row r="15">
          <cell r="N15">
            <v>0.54148660716503683</v>
          </cell>
          <cell r="O15">
            <v>0.59788946625934414</v>
          </cell>
          <cell r="P15">
            <v>0.74141464358275355</v>
          </cell>
        </row>
        <row r="16">
          <cell r="N16">
            <v>0.776959321083729</v>
          </cell>
          <cell r="O16">
            <v>0.76462567702989259</v>
          </cell>
          <cell r="P16">
            <v>0.82877083188148826</v>
          </cell>
        </row>
        <row r="23">
          <cell r="N23">
            <v>125.5938217465466</v>
          </cell>
          <cell r="O23">
            <v>32.605008733642926</v>
          </cell>
          <cell r="P23">
            <v>393.75986640257429</v>
          </cell>
        </row>
        <row r="24">
          <cell r="N24">
            <v>870.20361338483224</v>
          </cell>
          <cell r="O24">
            <v>348.53240055085223</v>
          </cell>
          <cell r="P24">
            <v>3302.0436235023299</v>
          </cell>
        </row>
        <row r="25">
          <cell r="N25">
            <v>925.81704196889848</v>
          </cell>
          <cell r="O25">
            <v>257.29817365515822</v>
          </cell>
          <cell r="P25">
            <v>4391.6467947674491</v>
          </cell>
        </row>
        <row r="26">
          <cell r="N26">
            <v>59.203766402272137</v>
          </cell>
          <cell r="O26">
            <v>7.9901132437135871</v>
          </cell>
          <cell r="P26">
            <v>147.01105346266635</v>
          </cell>
        </row>
        <row r="27">
          <cell r="N27">
            <v>1921.9395758030414</v>
          </cell>
          <cell r="O27">
            <v>700.00000000000011</v>
          </cell>
          <cell r="P27">
            <v>21065.86021505377</v>
          </cell>
        </row>
        <row r="28">
          <cell r="N28">
            <v>228.50684931506851</v>
          </cell>
          <cell r="O28">
            <v>23.290410958904111</v>
          </cell>
          <cell r="P28">
            <v>1173.4246575342465</v>
          </cell>
        </row>
        <row r="29">
          <cell r="N29">
            <v>394.863</v>
          </cell>
          <cell r="O29">
            <v>168.779</v>
          </cell>
          <cell r="P29">
            <v>4546.3109999999997</v>
          </cell>
        </row>
        <row r="32">
          <cell r="N32">
            <v>25677.008546715195</v>
          </cell>
          <cell r="O32">
            <v>2665.86782071775</v>
          </cell>
          <cell r="P32">
            <v>10710.669577425191</v>
          </cell>
        </row>
        <row r="33">
          <cell r="N33">
            <v>183488.96993994425</v>
          </cell>
          <cell r="O33">
            <v>18494.829052434361</v>
          </cell>
          <cell r="P33">
            <v>78631.904338328764</v>
          </cell>
        </row>
        <row r="34">
          <cell r="N34">
            <v>168588.85702576104</v>
          </cell>
          <cell r="O34">
            <v>20223.290898130774</v>
          </cell>
          <cell r="P34">
            <v>81861.811075064892</v>
          </cell>
        </row>
        <row r="35">
          <cell r="N35">
            <v>4119.1969778582979</v>
          </cell>
          <cell r="O35">
            <v>339.6126248307155</v>
          </cell>
          <cell r="P35">
            <v>320.00141327774435</v>
          </cell>
        </row>
        <row r="36">
          <cell r="N36">
            <v>189695.93534747322</v>
          </cell>
          <cell r="O36">
            <v>21109.572636778685</v>
          </cell>
          <cell r="P36">
            <v>85508.940339923676</v>
          </cell>
        </row>
        <row r="37">
          <cell r="N37">
            <v>16666.317808219177</v>
          </cell>
          <cell r="O37">
            <v>1681.6246575342466</v>
          </cell>
          <cell r="P37">
            <v>3643.0931506849315</v>
          </cell>
        </row>
        <row r="38">
          <cell r="N38">
            <v>31230.341</v>
          </cell>
          <cell r="O38">
            <v>5727.6769999999988</v>
          </cell>
          <cell r="P38">
            <v>24090.265000000003</v>
          </cell>
        </row>
        <row r="41">
          <cell r="N41">
            <v>30184.861232638501</v>
          </cell>
          <cell r="O41">
            <v>6275.076890890753</v>
          </cell>
          <cell r="P41">
            <v>34209.99527171738</v>
          </cell>
        </row>
        <row r="42">
          <cell r="N42">
            <v>211236.75598366384</v>
          </cell>
          <cell r="O42">
            <v>44927.277002501927</v>
          </cell>
          <cell r="P42">
            <v>245048.39902633528</v>
          </cell>
        </row>
        <row r="43">
          <cell r="N43">
            <v>184178.97860347727</v>
          </cell>
          <cell r="O43">
            <v>43830.72204645053</v>
          </cell>
          <cell r="P43">
            <v>261703.85129521578</v>
          </cell>
        </row>
        <row r="44">
          <cell r="N44">
            <v>2632.6909907516865</v>
          </cell>
          <cell r="O44">
            <v>460.01177120859319</v>
          </cell>
          <cell r="P44">
            <v>401.96756059141728</v>
          </cell>
        </row>
        <row r="45">
          <cell r="N45">
            <v>291903.00757007429</v>
          </cell>
          <cell r="O45">
            <v>55237.983683856015</v>
          </cell>
          <cell r="P45">
            <v>272576.86437738466</v>
          </cell>
        </row>
        <row r="46">
          <cell r="N46">
            <v>2328.6465753424659</v>
          </cell>
          <cell r="O46">
            <v>805.12876712328762</v>
          </cell>
          <cell r="P46">
            <v>2234.2328767123286</v>
          </cell>
        </row>
        <row r="47">
          <cell r="N47">
            <v>33767.892</v>
          </cell>
          <cell r="O47">
            <v>9399.9429999999993</v>
          </cell>
          <cell r="P47">
            <v>33370.806999999993</v>
          </cell>
        </row>
        <row r="50">
          <cell r="N50">
            <v>14575.760565322782</v>
          </cell>
          <cell r="O50">
            <v>6624.7635574307587</v>
          </cell>
          <cell r="P50">
            <v>22948.968177748655</v>
          </cell>
        </row>
        <row r="51">
          <cell r="N51">
            <v>106382.33535938767</v>
          </cell>
          <cell r="O51">
            <v>47494.971455975065</v>
          </cell>
          <cell r="P51">
            <v>166988.03110608357</v>
          </cell>
        </row>
        <row r="52">
          <cell r="N52">
            <v>92227.637621398302</v>
          </cell>
          <cell r="O52">
            <v>47562.506060804721</v>
          </cell>
          <cell r="P52">
            <v>182155.80640314257</v>
          </cell>
        </row>
        <row r="53">
          <cell r="N53">
            <v>890.58687079586139</v>
          </cell>
          <cell r="O53">
            <v>309.99882955065385</v>
          </cell>
          <cell r="P53">
            <v>125.99994761710384</v>
          </cell>
        </row>
        <row r="54">
          <cell r="N54">
            <v>158493.85528200233</v>
          </cell>
          <cell r="O54">
            <v>59139.10635431479</v>
          </cell>
          <cell r="P54">
            <v>168489.99306278178</v>
          </cell>
        </row>
        <row r="55">
          <cell r="N55">
            <v>622.80547945205478</v>
          </cell>
          <cell r="O55">
            <v>391.31232876712329</v>
          </cell>
          <cell r="P55">
            <v>918.31506849315065</v>
          </cell>
        </row>
        <row r="56">
          <cell r="N56">
            <v>16899.852999999999</v>
          </cell>
          <cell r="O56">
            <v>9893.7479999999978</v>
          </cell>
          <cell r="P56">
            <v>30726.671000000002</v>
          </cell>
        </row>
        <row r="59">
          <cell r="N59">
            <v>17107.595956012585</v>
          </cell>
          <cell r="O59">
            <v>25510.470047488216</v>
          </cell>
          <cell r="P59">
            <v>60440.260134903299</v>
          </cell>
        </row>
        <row r="60">
          <cell r="N60">
            <v>124449.31035855581</v>
          </cell>
          <cell r="O60">
            <v>189922.74228421951</v>
          </cell>
          <cell r="P60">
            <v>406400.85824218945</v>
          </cell>
        </row>
        <row r="61">
          <cell r="N61">
            <v>112453.25781860354</v>
          </cell>
          <cell r="O61">
            <v>182496.89866606196</v>
          </cell>
          <cell r="P61">
            <v>487004.32765408914</v>
          </cell>
        </row>
        <row r="62">
          <cell r="N62">
            <v>576.0146467250961</v>
          </cell>
          <cell r="O62">
            <v>594.00114482336835</v>
          </cell>
          <cell r="P62">
            <v>130.00005897439797</v>
          </cell>
        </row>
        <row r="63">
          <cell r="N63">
            <v>192920.92341267128</v>
          </cell>
          <cell r="O63">
            <v>237866.59681161592</v>
          </cell>
          <cell r="P63">
            <v>419861.99271592079</v>
          </cell>
        </row>
        <row r="64">
          <cell r="N64">
            <v>234.86849315068494</v>
          </cell>
          <cell r="O64">
            <v>1896.0054794520547</v>
          </cell>
          <cell r="P64">
            <v>247.76438356164383</v>
          </cell>
        </row>
        <row r="65">
          <cell r="N65">
            <v>21934.062999999998</v>
          </cell>
          <cell r="O65">
            <v>35460.887999999999</v>
          </cell>
          <cell r="P65">
            <v>69231.785000000003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MEB"/>
      <sheetName val="MIDE"/>
      <sheetName val="SWAE"/>
      <sheetName val="SWEB"/>
    </sheetNames>
    <sheetDataSet>
      <sheetData sheetId="0"/>
      <sheetData sheetId="1"/>
      <sheetData sheetId="2"/>
      <sheetData sheetId="3">
        <row r="4">
          <cell r="A4" t="str">
            <v>Domestic Aggregated or CT with Residual</v>
          </cell>
          <cell r="B4" t="str">
            <v>Single band</v>
          </cell>
          <cell r="C4" t="str">
            <v>-</v>
          </cell>
          <cell r="D4" t="str">
            <v>-</v>
          </cell>
          <cell r="E4">
            <v>1.3329728603994431</v>
          </cell>
        </row>
        <row r="5">
          <cell r="A5" t="str">
            <v>Non-Domestic Aggregated or CT Band 1</v>
          </cell>
          <cell r="B5">
            <v>1</v>
          </cell>
          <cell r="C5" t="str">
            <v>kWh</v>
          </cell>
          <cell r="D5" t="str">
            <v>0 to 3571</v>
          </cell>
          <cell r="E5">
            <v>1.5327705254915669</v>
          </cell>
        </row>
        <row r="6">
          <cell r="A6" t="str">
            <v>Non-Domestic Aggregated or CT Band 2</v>
          </cell>
          <cell r="B6">
            <v>2</v>
          </cell>
          <cell r="C6" t="str">
            <v>kWh</v>
          </cell>
          <cell r="D6" t="str">
            <v>3571 to 12553</v>
          </cell>
          <cell r="E6">
            <v>3.3696098060183668</v>
          </cell>
        </row>
        <row r="7">
          <cell r="A7" t="str">
            <v>Non-Domestic Aggregated or CT Band 3</v>
          </cell>
          <cell r="B7">
            <v>3</v>
          </cell>
          <cell r="C7" t="str">
            <v>kWh</v>
          </cell>
          <cell r="D7" t="str">
            <v>12553 to 25279</v>
          </cell>
          <cell r="E7">
            <v>6.8773209283648988</v>
          </cell>
        </row>
        <row r="8">
          <cell r="A8" t="str">
            <v>Non-Domestic Aggregated or CT Band 4</v>
          </cell>
          <cell r="B8">
            <v>4</v>
          </cell>
          <cell r="C8" t="str">
            <v>kWh</v>
          </cell>
          <cell r="D8" t="str">
            <v>25279 to ∞</v>
          </cell>
          <cell r="E8">
            <v>20.325395742574898</v>
          </cell>
        </row>
        <row r="9">
          <cell r="A9" t="str">
            <v>LV Site Specific Band 1</v>
          </cell>
          <cell r="B9">
            <v>1</v>
          </cell>
          <cell r="C9" t="str">
            <v>kVA</v>
          </cell>
          <cell r="D9" t="str">
            <v>0 to 80</v>
          </cell>
          <cell r="E9">
            <v>38.789758032735442</v>
          </cell>
        </row>
        <row r="10">
          <cell r="A10" t="str">
            <v>LV Site Specific Band 2</v>
          </cell>
          <cell r="B10">
            <v>2</v>
          </cell>
          <cell r="C10" t="str">
            <v>kVA</v>
          </cell>
          <cell r="D10" t="str">
            <v>80 to 150</v>
          </cell>
          <cell r="E10">
            <v>68.763195782519404</v>
          </cell>
        </row>
        <row r="11">
          <cell r="A11" t="str">
            <v>LV Site Specific Band 3</v>
          </cell>
          <cell r="B11">
            <v>3</v>
          </cell>
          <cell r="C11" t="str">
            <v>kVA</v>
          </cell>
          <cell r="D11" t="str">
            <v>150 to 231</v>
          </cell>
          <cell r="E11">
            <v>105.93345292311514</v>
          </cell>
        </row>
        <row r="12">
          <cell r="A12" t="str">
            <v>LV Site Specific Band 4</v>
          </cell>
          <cell r="B12">
            <v>4</v>
          </cell>
          <cell r="C12" t="str">
            <v>kVA</v>
          </cell>
          <cell r="D12" t="str">
            <v>231 to ∞</v>
          </cell>
          <cell r="E12">
            <v>230.38429998374099</v>
          </cell>
        </row>
        <row r="13">
          <cell r="A13" t="str">
            <v>LV Sub Site Specific Band 1</v>
          </cell>
          <cell r="B13">
            <v>1</v>
          </cell>
          <cell r="C13" t="str">
            <v>kVA</v>
          </cell>
          <cell r="D13" t="str">
            <v>0 to 80</v>
          </cell>
          <cell r="E13">
            <v>38.789758032735442</v>
          </cell>
        </row>
        <row r="14">
          <cell r="A14" t="str">
            <v>LV Sub Site Specific Band 2</v>
          </cell>
          <cell r="B14">
            <v>2</v>
          </cell>
          <cell r="C14" t="str">
            <v>kVA</v>
          </cell>
          <cell r="D14" t="str">
            <v>80 to 150</v>
          </cell>
          <cell r="E14">
            <v>68.763195782519404</v>
          </cell>
        </row>
        <row r="15">
          <cell r="A15" t="str">
            <v>LV Sub Site Specific Band 3</v>
          </cell>
          <cell r="B15">
            <v>3</v>
          </cell>
          <cell r="C15" t="str">
            <v>kVA</v>
          </cell>
          <cell r="D15" t="str">
            <v>150 to 231</v>
          </cell>
          <cell r="E15">
            <v>105.93345292311514</v>
          </cell>
        </row>
        <row r="16">
          <cell r="A16" t="str">
            <v>LV Sub Site Specific Band 4</v>
          </cell>
          <cell r="B16">
            <v>4</v>
          </cell>
          <cell r="C16" t="str">
            <v>kVA</v>
          </cell>
          <cell r="D16" t="str">
            <v>231 to ∞</v>
          </cell>
          <cell r="E16">
            <v>230.38429998374099</v>
          </cell>
        </row>
        <row r="17">
          <cell r="A17" t="str">
            <v>HV Site Specific Band 1</v>
          </cell>
          <cell r="B17">
            <v>1</v>
          </cell>
          <cell r="C17" t="str">
            <v>kVA</v>
          </cell>
          <cell r="D17" t="str">
            <v>0 to 422</v>
          </cell>
          <cell r="E17">
            <v>221.12681645025887</v>
          </cell>
        </row>
        <row r="18">
          <cell r="A18" t="str">
            <v>HV Site Specific Band 2</v>
          </cell>
          <cell r="B18">
            <v>2</v>
          </cell>
          <cell r="C18" t="str">
            <v>kVA</v>
          </cell>
          <cell r="D18" t="str">
            <v>422 to 1000</v>
          </cell>
          <cell r="E18">
            <v>555.30690047189148</v>
          </cell>
        </row>
        <row r="19">
          <cell r="A19" t="str">
            <v>HV Site Specific Band 3</v>
          </cell>
          <cell r="B19">
            <v>3</v>
          </cell>
          <cell r="C19" t="str">
            <v>kVA</v>
          </cell>
          <cell r="D19" t="str">
            <v>1000 to 1800</v>
          </cell>
          <cell r="E19">
            <v>1212.235195208639</v>
          </cell>
        </row>
        <row r="20">
          <cell r="A20" t="str">
            <v>HV Site Specific Band 4</v>
          </cell>
          <cell r="B20">
            <v>4</v>
          </cell>
          <cell r="C20" t="str">
            <v>kVA</v>
          </cell>
          <cell r="D20" t="str">
            <v>1800 to ∞</v>
          </cell>
          <cell r="E20">
            <v>3010.008239338958</v>
          </cell>
        </row>
        <row r="21">
          <cell r="A21" t="str">
            <v>EDCM Band 1</v>
          </cell>
          <cell r="B21">
            <v>1</v>
          </cell>
          <cell r="C21" t="str">
            <v>kVA</v>
          </cell>
          <cell r="D21" t="str">
            <v>0 to 5000</v>
          </cell>
          <cell r="E21">
            <v>1389.4213813211443</v>
          </cell>
        </row>
        <row r="22">
          <cell r="A22" t="str">
            <v>EDCM Band 2</v>
          </cell>
          <cell r="B22">
            <v>2</v>
          </cell>
          <cell r="C22" t="str">
            <v>kVA</v>
          </cell>
          <cell r="D22" t="str">
            <v>5000 to 12000</v>
          </cell>
          <cell r="E22">
            <v>9473.1856400492579</v>
          </cell>
        </row>
        <row r="23">
          <cell r="A23" t="str">
            <v>EDCM Band 3</v>
          </cell>
          <cell r="B23">
            <v>3</v>
          </cell>
          <cell r="C23" t="str">
            <v>kVA</v>
          </cell>
          <cell r="D23" t="str">
            <v>12000 to 21500</v>
          </cell>
          <cell r="E23">
            <v>14268.522568430861</v>
          </cell>
        </row>
        <row r="24">
          <cell r="A24" t="str">
            <v>EDCM Band 4</v>
          </cell>
          <cell r="B24">
            <v>4</v>
          </cell>
          <cell r="C24" t="str">
            <v>kVA</v>
          </cell>
          <cell r="D24" t="str">
            <v>21500 to ∞</v>
          </cell>
          <cell r="E24">
            <v>46340.423768302862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7"/>
  <sheetViews>
    <sheetView tabSelected="1" topLeftCell="B1" workbookViewId="0">
      <selection activeCell="Y8" sqref="Y8"/>
    </sheetView>
  </sheetViews>
  <sheetFormatPr defaultRowHeight="14.5" x14ac:dyDescent="0.35"/>
  <cols>
    <col min="1" max="1" width="11.36328125" hidden="1" customWidth="1"/>
    <col min="2" max="2" width="32.81640625" customWidth="1"/>
    <col min="3" max="3" width="13.54296875" customWidth="1"/>
    <col min="4" max="11" width="9" customWidth="1"/>
    <col min="13" max="15" width="0" hidden="1" customWidth="1"/>
    <col min="17" max="20" width="8.90625" hidden="1" customWidth="1"/>
    <col min="23" max="23" width="9.54296875" bestFit="1" customWidth="1"/>
    <col min="25" max="25" width="17.1796875" bestFit="1" customWidth="1"/>
    <col min="27" max="28" width="8.81640625" bestFit="1" customWidth="1"/>
    <col min="29" max="29" width="5" bestFit="1" customWidth="1"/>
  </cols>
  <sheetData>
    <row r="1" spans="1:29" x14ac:dyDescent="0.35">
      <c r="L1" t="s">
        <v>36</v>
      </c>
      <c r="U1" t="s">
        <v>37</v>
      </c>
    </row>
    <row r="2" spans="1:29" x14ac:dyDescent="0.35">
      <c r="M2" t="s">
        <v>35</v>
      </c>
      <c r="N2" t="s">
        <v>35</v>
      </c>
      <c r="O2" t="s">
        <v>35</v>
      </c>
      <c r="P2" t="s">
        <v>35</v>
      </c>
      <c r="V2" t="s">
        <v>35</v>
      </c>
      <c r="Z2" t="s">
        <v>39</v>
      </c>
      <c r="AA2" t="s">
        <v>39</v>
      </c>
      <c r="AB2" t="s">
        <v>39</v>
      </c>
      <c r="AC2" t="s">
        <v>39</v>
      </c>
    </row>
    <row r="3" spans="1:29" ht="78" x14ac:dyDescent="0.35">
      <c r="B3" s="10" t="s">
        <v>21</v>
      </c>
      <c r="C3" s="11" t="s">
        <v>22</v>
      </c>
      <c r="D3" s="11" t="s">
        <v>23</v>
      </c>
      <c r="E3" s="12" t="s">
        <v>24</v>
      </c>
      <c r="F3" s="12" t="s">
        <v>25</v>
      </c>
      <c r="G3" s="12" t="s">
        <v>26</v>
      </c>
      <c r="H3" s="11" t="s">
        <v>27</v>
      </c>
      <c r="I3" s="11" t="s">
        <v>28</v>
      </c>
      <c r="J3" s="10" t="s">
        <v>29</v>
      </c>
      <c r="K3" s="11" t="s">
        <v>30</v>
      </c>
      <c r="L3" s="11" t="s">
        <v>31</v>
      </c>
      <c r="M3" s="11" t="s">
        <v>32</v>
      </c>
      <c r="N3" s="11" t="s">
        <v>33</v>
      </c>
      <c r="O3" s="11" t="s">
        <v>34</v>
      </c>
      <c r="P3" s="11" t="s">
        <v>38</v>
      </c>
      <c r="Q3" s="15"/>
      <c r="R3" s="15"/>
      <c r="S3" s="15"/>
      <c r="T3" s="15"/>
      <c r="U3" s="11" t="s">
        <v>31</v>
      </c>
      <c r="V3" s="11" t="s">
        <v>38</v>
      </c>
      <c r="W3" s="11" t="s">
        <v>42</v>
      </c>
      <c r="X3" s="11" t="s">
        <v>43</v>
      </c>
      <c r="Z3" s="15"/>
      <c r="AA3" s="11" t="s">
        <v>40</v>
      </c>
      <c r="AB3" s="11" t="s">
        <v>41</v>
      </c>
    </row>
    <row r="4" spans="1:29" x14ac:dyDescent="0.35">
      <c r="A4" t="s">
        <v>44</v>
      </c>
      <c r="B4" s="1" t="s">
        <v>0</v>
      </c>
      <c r="C4" s="2">
        <v>570</v>
      </c>
      <c r="D4" s="3">
        <v>0</v>
      </c>
      <c r="E4" s="4">
        <v>15.821</v>
      </c>
      <c r="F4" s="5">
        <v>0.94399999999999995</v>
      </c>
      <c r="G4" s="6">
        <v>0.114</v>
      </c>
      <c r="H4" s="7">
        <v>57.72</v>
      </c>
      <c r="I4" s="7">
        <v>12.55</v>
      </c>
      <c r="J4" s="8">
        <v>12.55</v>
      </c>
      <c r="K4" s="9">
        <v>0.19700000000000001</v>
      </c>
      <c r="L4" s="16">
        <f>HLOOKUP($A4,'[1]Inputs by customer type'!$N$5:$P$66,Q4,FALSE)</f>
        <v>4119.1969778582979</v>
      </c>
      <c r="M4" s="16">
        <f>HLOOKUP($A4,'[1]Inputs by customer type'!$N$5:$P$66,R4,FALSE)</f>
        <v>25677.008546715195</v>
      </c>
      <c r="N4" s="16">
        <f>HLOOKUP($A4,'[1]Inputs by customer type'!$N$5:$P$66,S4,FALSE)</f>
        <v>183488.96993994425</v>
      </c>
      <c r="O4" s="16">
        <f>HLOOKUP($A4,'[1]Inputs by customer type'!$N$5:$P$66,T4,FALSE)</f>
        <v>168588.85702576104</v>
      </c>
      <c r="P4" s="16">
        <f>SUM(M4:O4)</f>
        <v>377754.83551242051</v>
      </c>
      <c r="Q4" s="15">
        <v>31</v>
      </c>
      <c r="R4" s="15">
        <v>28</v>
      </c>
      <c r="S4" s="15">
        <v>29</v>
      </c>
      <c r="T4" s="15">
        <v>30</v>
      </c>
      <c r="U4" s="16">
        <f>L4-U5</f>
        <v>4116.1969778582979</v>
      </c>
      <c r="V4" s="16">
        <f>P4-V5</f>
        <v>377699.77184502885</v>
      </c>
      <c r="W4" s="17">
        <f>VLOOKUP(B4,[2]SWEB!$A$4:$E$24,5,FALSE)</f>
        <v>38.789758032735442</v>
      </c>
      <c r="X4" s="17">
        <f>(V4/U4)/(P4/L4)*W4</f>
        <v>38.812370764132893</v>
      </c>
      <c r="Y4" s="20"/>
      <c r="Z4" s="19"/>
      <c r="AA4" s="18">
        <f>L4*W4</f>
        <v>159782.65406029846</v>
      </c>
      <c r="AB4" s="18">
        <f t="shared" ref="AB4:AB27" si="0">X4*U4</f>
        <v>159759.36324283958</v>
      </c>
      <c r="AC4" s="13"/>
    </row>
    <row r="5" spans="1:29" x14ac:dyDescent="0.35">
      <c r="A5" t="s">
        <v>44</v>
      </c>
      <c r="B5" s="1" t="str">
        <f>B4&amp;" EV"</f>
        <v>LV Site Specific Band 1 EV</v>
      </c>
      <c r="C5" s="2">
        <f t="shared" ref="C5" si="1">C4</f>
        <v>570</v>
      </c>
      <c r="D5" s="3">
        <f t="shared" ref="D5" si="2">D4</f>
        <v>0</v>
      </c>
      <c r="E5" s="4">
        <f t="shared" ref="E5" si="3">E4</f>
        <v>15.821</v>
      </c>
      <c r="F5" s="5">
        <f t="shared" ref="F5" si="4">F4</f>
        <v>0.94399999999999995</v>
      </c>
      <c r="G5" s="6">
        <f t="shared" ref="G5" si="5">G4</f>
        <v>0.114</v>
      </c>
      <c r="H5" s="7">
        <f t="shared" ref="H5" si="6">H4</f>
        <v>57.72</v>
      </c>
      <c r="I5" s="7">
        <f t="shared" ref="I5" si="7">I4</f>
        <v>12.55</v>
      </c>
      <c r="J5" s="8">
        <f t="shared" ref="J5" si="8">J4</f>
        <v>12.55</v>
      </c>
      <c r="K5" s="9">
        <f t="shared" ref="K5" si="9">K4</f>
        <v>0.19700000000000001</v>
      </c>
      <c r="L5" s="16"/>
      <c r="M5" s="16"/>
      <c r="N5" s="16"/>
      <c r="O5" s="16"/>
      <c r="P5" s="16"/>
      <c r="Q5" s="15"/>
      <c r="R5" s="15"/>
      <c r="S5" s="15"/>
      <c r="T5" s="15"/>
      <c r="U5" s="16">
        <v>3</v>
      </c>
      <c r="V5" s="15">
        <f>U5/U4*P4*0.2</f>
        <v>55.063667391685968</v>
      </c>
      <c r="W5" s="17">
        <f>VLOOKUP(B4,[2]SWEB!$A$4:$E$24,5,FALSE)</f>
        <v>38.789758032735442</v>
      </c>
      <c r="X5" s="17">
        <f>(V5/U5)/(P4/L4)*W5</f>
        <v>7.7636058196337876</v>
      </c>
      <c r="Y5" s="20"/>
      <c r="Z5" s="19">
        <f>X5/X4</f>
        <v>0.20002915737392302</v>
      </c>
      <c r="AA5" s="18"/>
      <c r="AB5" s="18">
        <f t="shared" si="0"/>
        <v>23.290817458901362</v>
      </c>
      <c r="AC5" s="14">
        <f>SUM(AB4:AB5)-AA4</f>
        <v>0</v>
      </c>
    </row>
    <row r="6" spans="1:29" x14ac:dyDescent="0.35">
      <c r="A6" t="s">
        <v>44</v>
      </c>
      <c r="B6" s="1" t="s">
        <v>1</v>
      </c>
      <c r="C6" s="2" t="s">
        <v>2</v>
      </c>
      <c r="D6" s="3">
        <v>0</v>
      </c>
      <c r="E6" s="4">
        <v>15.821</v>
      </c>
      <c r="F6" s="5">
        <v>0.94399999999999995</v>
      </c>
      <c r="G6" s="6">
        <v>0.114</v>
      </c>
      <c r="H6" s="7">
        <v>87.7</v>
      </c>
      <c r="I6" s="7">
        <v>12.55</v>
      </c>
      <c r="J6" s="8">
        <v>12.55</v>
      </c>
      <c r="K6" s="9">
        <v>0.19700000000000001</v>
      </c>
      <c r="L6" s="16">
        <f>HLOOKUP($A6,'[1]Inputs by customer type'!$N$5:$P$66,Q6,FALSE)</f>
        <v>2632.6909907516865</v>
      </c>
      <c r="M6" s="16">
        <f>HLOOKUP($A6,'[1]Inputs by customer type'!$N$5:$P$66,R6,FALSE)</f>
        <v>30184.861232638501</v>
      </c>
      <c r="N6" s="16">
        <f>HLOOKUP($A6,'[1]Inputs by customer type'!$N$5:$P$66,S6,FALSE)</f>
        <v>211236.75598366384</v>
      </c>
      <c r="O6" s="16">
        <f>HLOOKUP($A6,'[1]Inputs by customer type'!$N$5:$P$66,T6,FALSE)</f>
        <v>184178.97860347727</v>
      </c>
      <c r="P6" s="16">
        <f>SUM(M6:O6)</f>
        <v>425600.59581977961</v>
      </c>
      <c r="Q6" s="15">
        <f>Q4+9</f>
        <v>40</v>
      </c>
      <c r="R6" s="15">
        <f t="shared" ref="R6:T10" si="10">R4+9</f>
        <v>37</v>
      </c>
      <c r="S6" s="15">
        <f t="shared" si="10"/>
        <v>38</v>
      </c>
      <c r="T6" s="15">
        <f t="shared" si="10"/>
        <v>39</v>
      </c>
      <c r="U6" s="16">
        <f>L6-U7</f>
        <v>2629.6909907516865</v>
      </c>
      <c r="V6" s="16">
        <f>P6-V7</f>
        <v>425503.48921737273</v>
      </c>
      <c r="W6" s="17">
        <f>VLOOKUP(B6,[2]SWEB!$A$4:$E$24,5,FALSE)</f>
        <v>68.763195782519404</v>
      </c>
      <c r="X6" s="17">
        <f>(V6/U6)/(P6/L6)*W6</f>
        <v>68.825934941859742</v>
      </c>
      <c r="Y6" s="20"/>
      <c r="Z6" s="19"/>
      <c r="AA6" s="18">
        <f>L6*W6</f>
        <v>181032.2460319332</v>
      </c>
      <c r="AB6" s="18">
        <f t="shared" si="0"/>
        <v>180990.94104667025</v>
      </c>
      <c r="AC6" s="13"/>
    </row>
    <row r="7" spans="1:29" x14ac:dyDescent="0.35">
      <c r="A7" t="s">
        <v>44</v>
      </c>
      <c r="B7" s="1" t="str">
        <f>B6&amp;" EV"</f>
        <v>LV Site Specific Band 2 EV</v>
      </c>
      <c r="C7" s="2" t="str">
        <f t="shared" ref="C7" si="11">C6</f>
        <v>L02</v>
      </c>
      <c r="D7" s="3">
        <f t="shared" ref="D7" si="12">D6</f>
        <v>0</v>
      </c>
      <c r="E7" s="4">
        <f t="shared" ref="E7" si="13">E6</f>
        <v>15.821</v>
      </c>
      <c r="F7" s="5">
        <f t="shared" ref="F7" si="14">F6</f>
        <v>0.94399999999999995</v>
      </c>
      <c r="G7" s="6">
        <f t="shared" ref="G7" si="15">G6</f>
        <v>0.114</v>
      </c>
      <c r="H7" s="7">
        <f t="shared" ref="H7" si="16">H6</f>
        <v>87.7</v>
      </c>
      <c r="I7" s="7">
        <f t="shared" ref="I7" si="17">I6</f>
        <v>12.55</v>
      </c>
      <c r="J7" s="8">
        <f t="shared" ref="J7" si="18">J6</f>
        <v>12.55</v>
      </c>
      <c r="K7" s="9">
        <f t="shared" ref="K7" si="19">K6</f>
        <v>0.19700000000000001</v>
      </c>
      <c r="L7" s="16"/>
      <c r="M7" s="16"/>
      <c r="N7" s="16"/>
      <c r="O7" s="16"/>
      <c r="P7" s="16"/>
      <c r="Q7" s="15"/>
      <c r="R7" s="15"/>
      <c r="S7" s="15"/>
      <c r="T7" s="15"/>
      <c r="U7" s="16">
        <v>3</v>
      </c>
      <c r="V7" s="15">
        <f>U7/U6*P6*0.2</f>
        <v>97.106602406875979</v>
      </c>
      <c r="W7" s="17">
        <f>VLOOKUP(B6,[2]SWEB!$A$4:$E$24,5,FALSE)</f>
        <v>68.763195782519404</v>
      </c>
      <c r="X7" s="17">
        <f>(V7/U7)/(P6/L6)*W7</f>
        <v>13.768328420989564</v>
      </c>
      <c r="Y7" s="20"/>
      <c r="Z7" s="19">
        <f>X7/X6</f>
        <v>0.20004564315210929</v>
      </c>
      <c r="AA7" s="18"/>
      <c r="AB7" s="18">
        <f t="shared" si="0"/>
        <v>41.304985262968692</v>
      </c>
      <c r="AC7" s="14">
        <f>SUM(AB6:AB7)-AA6</f>
        <v>0</v>
      </c>
    </row>
    <row r="8" spans="1:29" x14ac:dyDescent="0.35">
      <c r="A8" t="s">
        <v>44</v>
      </c>
      <c r="B8" s="1" t="s">
        <v>3</v>
      </c>
      <c r="C8" s="2" t="s">
        <v>4</v>
      </c>
      <c r="D8" s="3">
        <v>0</v>
      </c>
      <c r="E8" s="4">
        <v>15.821</v>
      </c>
      <c r="F8" s="5">
        <v>0.94399999999999995</v>
      </c>
      <c r="G8" s="6">
        <v>0.114</v>
      </c>
      <c r="H8" s="7">
        <v>124.87</v>
      </c>
      <c r="I8" s="7">
        <v>12.55</v>
      </c>
      <c r="J8" s="8">
        <v>12.55</v>
      </c>
      <c r="K8" s="9">
        <v>0.19700000000000001</v>
      </c>
      <c r="L8" s="16">
        <f>HLOOKUP($A8,'[1]Inputs by customer type'!$N$5:$P$66,Q8,FALSE)</f>
        <v>890.58687079586139</v>
      </c>
      <c r="M8" s="16">
        <f>HLOOKUP($A8,'[1]Inputs by customer type'!$N$5:$P$66,R8,FALSE)</f>
        <v>14575.760565322782</v>
      </c>
      <c r="N8" s="16">
        <f>HLOOKUP($A8,'[1]Inputs by customer type'!$N$5:$P$66,S8,FALSE)</f>
        <v>106382.33535938767</v>
      </c>
      <c r="O8" s="16">
        <f>HLOOKUP($A8,'[1]Inputs by customer type'!$N$5:$P$66,T8,FALSE)</f>
        <v>92227.637621398302</v>
      </c>
      <c r="P8" s="16">
        <f>SUM(M8:O8)</f>
        <v>213185.73354610876</v>
      </c>
      <c r="Q8" s="15">
        <f>Q6+9</f>
        <v>49</v>
      </c>
      <c r="R8" s="15">
        <f t="shared" si="10"/>
        <v>46</v>
      </c>
      <c r="S8" s="15">
        <f t="shared" si="10"/>
        <v>47</v>
      </c>
      <c r="T8" s="15">
        <f t="shared" si="10"/>
        <v>48</v>
      </c>
      <c r="U8" s="16">
        <f>L8-U9</f>
        <v>887.58687079586139</v>
      </c>
      <c r="V8" s="16">
        <f>P8-V9</f>
        <v>213041.62208577027</v>
      </c>
      <c r="W8" s="17">
        <f>VLOOKUP(B8,[2]SWEB!$A$4:$E$24,5,FALSE)</f>
        <v>105.93345292311514</v>
      </c>
      <c r="X8" s="17">
        <f>(V8/U8)/(P8/L8)*W8</f>
        <v>106.21965077648025</v>
      </c>
      <c r="Y8" s="20"/>
      <c r="Z8" s="19"/>
      <c r="AA8" s="18">
        <f>L8*W8</f>
        <v>94342.942351397811</v>
      </c>
      <c r="AB8" s="18">
        <f t="shared" si="0"/>
        <v>94279.167449725297</v>
      </c>
      <c r="AC8" s="13"/>
    </row>
    <row r="9" spans="1:29" x14ac:dyDescent="0.35">
      <c r="A9" t="s">
        <v>44</v>
      </c>
      <c r="B9" s="1" t="str">
        <f>B8&amp;" EV"</f>
        <v>LV Site Specific Band 3 EV</v>
      </c>
      <c r="C9" s="2" t="str">
        <f t="shared" ref="C9" si="20">C8</f>
        <v>L03</v>
      </c>
      <c r="D9" s="3">
        <f t="shared" ref="D9" si="21">D8</f>
        <v>0</v>
      </c>
      <c r="E9" s="4">
        <f t="shared" ref="E9" si="22">E8</f>
        <v>15.821</v>
      </c>
      <c r="F9" s="5">
        <f t="shared" ref="F9" si="23">F8</f>
        <v>0.94399999999999995</v>
      </c>
      <c r="G9" s="6">
        <f t="shared" ref="G9" si="24">G8</f>
        <v>0.114</v>
      </c>
      <c r="H9" s="7">
        <f t="shared" ref="H9" si="25">H8</f>
        <v>124.87</v>
      </c>
      <c r="I9" s="7">
        <f t="shared" ref="I9" si="26">I8</f>
        <v>12.55</v>
      </c>
      <c r="J9" s="8">
        <f t="shared" ref="J9" si="27">J8</f>
        <v>12.55</v>
      </c>
      <c r="K9" s="9">
        <f t="shared" ref="K9" si="28">K8</f>
        <v>0.19700000000000001</v>
      </c>
      <c r="L9" s="16"/>
      <c r="M9" s="16"/>
      <c r="N9" s="16"/>
      <c r="O9" s="16"/>
      <c r="P9" s="16"/>
      <c r="Q9" s="15"/>
      <c r="R9" s="15"/>
      <c r="S9" s="15"/>
      <c r="T9" s="15"/>
      <c r="U9" s="16">
        <v>3</v>
      </c>
      <c r="V9" s="15">
        <f>U9/U8*P8*0.2</f>
        <v>144.11146033849343</v>
      </c>
      <c r="W9" s="17">
        <f>VLOOKUP(B8,[2]SWEB!$A$4:$E$24,5,FALSE)</f>
        <v>105.93345292311514</v>
      </c>
      <c r="X9" s="17">
        <f>(V9/U9)/(P8/L8)*W9</f>
        <v>21.258300557511518</v>
      </c>
      <c r="Y9" s="20"/>
      <c r="Z9" s="19">
        <f>X9/X8</f>
        <v>0.20013528948843665</v>
      </c>
      <c r="AA9" s="18"/>
      <c r="AB9" s="18">
        <f t="shared" si="0"/>
        <v>63.774901672534554</v>
      </c>
      <c r="AC9" s="14">
        <f>SUM(AB8:AB9)-AA8</f>
        <v>0</v>
      </c>
    </row>
    <row r="10" spans="1:29" x14ac:dyDescent="0.35">
      <c r="A10" t="s">
        <v>44</v>
      </c>
      <c r="B10" s="1" t="s">
        <v>5</v>
      </c>
      <c r="C10" s="2" t="s">
        <v>6</v>
      </c>
      <c r="D10" s="3">
        <v>0</v>
      </c>
      <c r="E10" s="4">
        <v>15.821</v>
      </c>
      <c r="F10" s="5">
        <v>0.94399999999999995</v>
      </c>
      <c r="G10" s="6">
        <v>0.114</v>
      </c>
      <c r="H10" s="7">
        <v>249.32</v>
      </c>
      <c r="I10" s="7">
        <v>12.55</v>
      </c>
      <c r="J10" s="8">
        <v>12.55</v>
      </c>
      <c r="K10" s="9">
        <v>0.19700000000000001</v>
      </c>
      <c r="L10" s="16">
        <f>HLOOKUP($A10,'[1]Inputs by customer type'!$N$5:$P$66,Q10,FALSE)</f>
        <v>576.0146467250961</v>
      </c>
      <c r="M10" s="16">
        <f>HLOOKUP($A10,'[1]Inputs by customer type'!$N$5:$P$66,R10,FALSE)</f>
        <v>17107.595956012585</v>
      </c>
      <c r="N10" s="16">
        <f>HLOOKUP($A10,'[1]Inputs by customer type'!$N$5:$P$66,S10,FALSE)</f>
        <v>124449.31035855581</v>
      </c>
      <c r="O10" s="16">
        <f>HLOOKUP($A10,'[1]Inputs by customer type'!$N$5:$P$66,T10,FALSE)</f>
        <v>112453.25781860354</v>
      </c>
      <c r="P10" s="16">
        <f>SUM(M10:O10)</f>
        <v>254010.16413317193</v>
      </c>
      <c r="Q10" s="15">
        <f>Q8+9</f>
        <v>58</v>
      </c>
      <c r="R10" s="15">
        <f t="shared" si="10"/>
        <v>55</v>
      </c>
      <c r="S10" s="15">
        <f t="shared" si="10"/>
        <v>56</v>
      </c>
      <c r="T10" s="15">
        <f t="shared" si="10"/>
        <v>57</v>
      </c>
      <c r="U10" s="16">
        <f>L10-U11</f>
        <v>573.0146467250961</v>
      </c>
      <c r="V10" s="16">
        <f>P10-V11</f>
        <v>253744.19170236072</v>
      </c>
      <c r="W10" s="17">
        <f>VLOOKUP(B10,[2]SWEB!$A$4:$E$24,5,FALSE)</f>
        <v>230.38429998374099</v>
      </c>
      <c r="X10" s="17">
        <f>(V10/U10)/(P10/L10)*W10</f>
        <v>231.34797276471045</v>
      </c>
      <c r="Y10" s="20"/>
      <c r="Z10" s="19"/>
      <c r="AA10" s="18">
        <f>L10*W10</f>
        <v>132704.73116614312</v>
      </c>
      <c r="AB10" s="18">
        <f t="shared" si="0"/>
        <v>132565.77688433771</v>
      </c>
      <c r="AC10" s="13"/>
    </row>
    <row r="11" spans="1:29" x14ac:dyDescent="0.35">
      <c r="A11" t="s">
        <v>44</v>
      </c>
      <c r="B11" s="1" t="str">
        <f>B10&amp;" EV"</f>
        <v>LV Site Specific Band 4 EV</v>
      </c>
      <c r="C11" s="2" t="str">
        <f t="shared" ref="C11" si="29">C10</f>
        <v>L04</v>
      </c>
      <c r="D11" s="3">
        <f t="shared" ref="D11" si="30">D10</f>
        <v>0</v>
      </c>
      <c r="E11" s="4">
        <f t="shared" ref="E11" si="31">E10</f>
        <v>15.821</v>
      </c>
      <c r="F11" s="5">
        <f t="shared" ref="F11" si="32">F10</f>
        <v>0.94399999999999995</v>
      </c>
      <c r="G11" s="6">
        <f t="shared" ref="G11" si="33">G10</f>
        <v>0.114</v>
      </c>
      <c r="H11" s="7">
        <f t="shared" ref="H11" si="34">H10</f>
        <v>249.32</v>
      </c>
      <c r="I11" s="7">
        <f t="shared" ref="I11" si="35">I10</f>
        <v>12.55</v>
      </c>
      <c r="J11" s="8">
        <f t="shared" ref="J11" si="36">J10</f>
        <v>12.55</v>
      </c>
      <c r="K11" s="9">
        <f t="shared" ref="K11" si="37">K10</f>
        <v>0.19700000000000001</v>
      </c>
      <c r="L11" s="16"/>
      <c r="M11" s="16"/>
      <c r="N11" s="16"/>
      <c r="O11" s="16"/>
      <c r="P11" s="16"/>
      <c r="Q11" s="15"/>
      <c r="R11" s="15"/>
      <c r="S11" s="15"/>
      <c r="T11" s="15"/>
      <c r="U11" s="16">
        <v>3</v>
      </c>
      <c r="V11" s="15">
        <f>U11/U10*P10*0.2</f>
        <v>265.97243081121451</v>
      </c>
      <c r="W11" s="17">
        <f>VLOOKUP(B10,[2]SWEB!$A$4:$E$24,5,FALSE)</f>
        <v>230.38429998374099</v>
      </c>
      <c r="X11" s="17">
        <f>(V11/U11)/(P10/L10)*W11</f>
        <v>46.318093935147964</v>
      </c>
      <c r="Y11" s="20"/>
      <c r="Z11" s="19">
        <f>X11/X10</f>
        <v>0.2002096382415903</v>
      </c>
      <c r="AA11" s="18"/>
      <c r="AB11" s="18">
        <f t="shared" si="0"/>
        <v>138.95428180544388</v>
      </c>
      <c r="AC11" s="14">
        <f>SUM(AB10:AB11)-AA10</f>
        <v>0</v>
      </c>
    </row>
    <row r="12" spans="1:29" x14ac:dyDescent="0.35">
      <c r="A12" t="s">
        <v>45</v>
      </c>
      <c r="B12" s="1" t="s">
        <v>7</v>
      </c>
      <c r="C12" s="2">
        <v>540</v>
      </c>
      <c r="D12" s="3">
        <v>0</v>
      </c>
      <c r="E12" s="4">
        <v>9.9190000000000005</v>
      </c>
      <c r="F12" s="5">
        <v>0.44900000000000001</v>
      </c>
      <c r="G12" s="6">
        <v>4.9000000000000002E-2</v>
      </c>
      <c r="H12" s="7">
        <v>53.57</v>
      </c>
      <c r="I12" s="7">
        <v>10.91</v>
      </c>
      <c r="J12" s="8">
        <v>10.91</v>
      </c>
      <c r="K12" s="9">
        <v>0.107</v>
      </c>
      <c r="L12" s="16">
        <f>HLOOKUP($A12,'[1]Inputs by customer type'!$N$5:$P$66,Q12,FALSE)</f>
        <v>339.6126248307155</v>
      </c>
      <c r="M12" s="16">
        <f>HLOOKUP($A12,'[1]Inputs by customer type'!$N$5:$P$66,R12,FALSE)</f>
        <v>2665.86782071775</v>
      </c>
      <c r="N12" s="16">
        <f>HLOOKUP($A12,'[1]Inputs by customer type'!$N$5:$P$66,S12,FALSE)</f>
        <v>18494.829052434361</v>
      </c>
      <c r="O12" s="16">
        <f>HLOOKUP($A12,'[1]Inputs by customer type'!$N$5:$P$66,T12,FALSE)</f>
        <v>20223.290898130774</v>
      </c>
      <c r="P12" s="16">
        <f>SUM(M12:O12)</f>
        <v>41383.987771282889</v>
      </c>
      <c r="Q12" s="15">
        <v>31</v>
      </c>
      <c r="R12" s="15">
        <v>28</v>
      </c>
      <c r="S12" s="15">
        <v>29</v>
      </c>
      <c r="T12" s="15">
        <v>30</v>
      </c>
      <c r="U12" s="16">
        <f>L12-U13</f>
        <v>336.6126248307155</v>
      </c>
      <c r="V12" s="16">
        <f>P12-V13</f>
        <v>41310.222288852579</v>
      </c>
      <c r="W12" s="17">
        <f>VLOOKUP(B12,[2]SWEB!$A$4:$E$24,5,FALSE)</f>
        <v>38.789758032735442</v>
      </c>
      <c r="X12" s="17">
        <f>(V12/U12)/(P12/L12)*W12</f>
        <v>39.065707264419729</v>
      </c>
      <c r="Y12" s="20"/>
      <c r="Z12" s="19"/>
      <c r="AA12" s="18">
        <f>L12*W12</f>
        <v>13173.491542045615</v>
      </c>
      <c r="AB12" s="18">
        <f t="shared" si="0"/>
        <v>13150.010263144675</v>
      </c>
      <c r="AC12" s="13"/>
    </row>
    <row r="13" spans="1:29" x14ac:dyDescent="0.35">
      <c r="A13" t="s">
        <v>45</v>
      </c>
      <c r="B13" s="1" t="str">
        <f>B12&amp;" EV"</f>
        <v>LV Sub Site Specific Band 1 EV</v>
      </c>
      <c r="C13" s="2">
        <f t="shared" ref="C13" si="38">C12</f>
        <v>540</v>
      </c>
      <c r="D13" s="3">
        <f t="shared" ref="D13" si="39">D12</f>
        <v>0</v>
      </c>
      <c r="E13" s="4">
        <f t="shared" ref="E13" si="40">E12</f>
        <v>9.9190000000000005</v>
      </c>
      <c r="F13" s="5">
        <f t="shared" ref="F13" si="41">F12</f>
        <v>0.44900000000000001</v>
      </c>
      <c r="G13" s="6">
        <f t="shared" ref="G13" si="42">G12</f>
        <v>4.9000000000000002E-2</v>
      </c>
      <c r="H13" s="7">
        <f t="shared" ref="H13" si="43">H12</f>
        <v>53.57</v>
      </c>
      <c r="I13" s="7">
        <f t="shared" ref="I13" si="44">I12</f>
        <v>10.91</v>
      </c>
      <c r="J13" s="8">
        <f t="shared" ref="J13" si="45">J12</f>
        <v>10.91</v>
      </c>
      <c r="K13" s="9">
        <f t="shared" ref="K13" si="46">K12</f>
        <v>0.107</v>
      </c>
      <c r="L13" s="16"/>
      <c r="M13" s="16"/>
      <c r="N13" s="16"/>
      <c r="O13" s="16"/>
      <c r="P13" s="16"/>
      <c r="Q13" s="15"/>
      <c r="R13" s="15"/>
      <c r="S13" s="15"/>
      <c r="T13" s="15"/>
      <c r="U13" s="16">
        <v>3</v>
      </c>
      <c r="V13" s="15">
        <f>U13/U12*P12*0.2</f>
        <v>73.765482430307188</v>
      </c>
      <c r="W13" s="17">
        <f>VLOOKUP(B12,[2]SWEB!$A$4:$E$24,5,FALSE)</f>
        <v>38.789758032735442</v>
      </c>
      <c r="X13" s="17">
        <f>(V13/U13)/(P12/L12)*W13</f>
        <v>7.8270929669798566</v>
      </c>
      <c r="Y13" s="20"/>
      <c r="Z13" s="19">
        <f>X13/X12</f>
        <v>0.20035712943839667</v>
      </c>
      <c r="AA13" s="18"/>
      <c r="AB13" s="18">
        <f t="shared" si="0"/>
        <v>23.481278900939571</v>
      </c>
      <c r="AC13" s="14">
        <f>SUM(AB12:AB13)-AA12</f>
        <v>0</v>
      </c>
    </row>
    <row r="14" spans="1:29" x14ac:dyDescent="0.35">
      <c r="A14" t="s">
        <v>45</v>
      </c>
      <c r="B14" s="1" t="s">
        <v>8</v>
      </c>
      <c r="C14" s="2" t="s">
        <v>9</v>
      </c>
      <c r="D14" s="3">
        <v>0</v>
      </c>
      <c r="E14" s="4">
        <v>9.9190000000000005</v>
      </c>
      <c r="F14" s="5">
        <v>0.44900000000000001</v>
      </c>
      <c r="G14" s="6">
        <v>4.9000000000000002E-2</v>
      </c>
      <c r="H14" s="7">
        <v>83.54</v>
      </c>
      <c r="I14" s="7">
        <v>10.91</v>
      </c>
      <c r="J14" s="8">
        <v>10.91</v>
      </c>
      <c r="K14" s="9">
        <v>0.107</v>
      </c>
      <c r="L14" s="16">
        <f>HLOOKUP($A14,'[1]Inputs by customer type'!$N$5:$P$66,Q14,FALSE)</f>
        <v>460.01177120859319</v>
      </c>
      <c r="M14" s="16">
        <f>HLOOKUP($A14,'[1]Inputs by customer type'!$N$5:$P$66,R14,FALSE)</f>
        <v>6275.076890890753</v>
      </c>
      <c r="N14" s="16">
        <f>HLOOKUP($A14,'[1]Inputs by customer type'!$N$5:$P$66,S14,FALSE)</f>
        <v>44927.277002501927</v>
      </c>
      <c r="O14" s="16">
        <f>HLOOKUP($A14,'[1]Inputs by customer type'!$N$5:$P$66,T14,FALSE)</f>
        <v>43830.72204645053</v>
      </c>
      <c r="P14" s="16">
        <f>SUM(M14:O14)</f>
        <v>95033.075939843213</v>
      </c>
      <c r="Q14" s="15">
        <f>Q12+9</f>
        <v>40</v>
      </c>
      <c r="R14" s="15">
        <f t="shared" ref="R14:T14" si="47">R12+9</f>
        <v>37</v>
      </c>
      <c r="S14" s="15">
        <f t="shared" si="47"/>
        <v>38</v>
      </c>
      <c r="T14" s="15">
        <f t="shared" si="47"/>
        <v>39</v>
      </c>
      <c r="U14" s="16">
        <f>L14-U15</f>
        <v>457.01177120859319</v>
      </c>
      <c r="V14" s="16">
        <f>P14-V15</f>
        <v>94908.309250764039</v>
      </c>
      <c r="W14" s="17">
        <f>VLOOKUP(B14,[2]SWEB!$A$4:$E$24,5,FALSE)</f>
        <v>68.763195782519404</v>
      </c>
      <c r="X14" s="17">
        <f>(V14/U14)/(P14/L14)*W14</f>
        <v>69.123713492375131</v>
      </c>
      <c r="Y14" s="20"/>
      <c r="Z14" s="19"/>
      <c r="AA14" s="18">
        <f>L14*W14</f>
        <v>31631.879485880017</v>
      </c>
      <c r="AB14" s="18">
        <f t="shared" si="0"/>
        <v>31590.350735665688</v>
      </c>
      <c r="AC14" s="13"/>
    </row>
    <row r="15" spans="1:29" x14ac:dyDescent="0.35">
      <c r="A15" t="s">
        <v>45</v>
      </c>
      <c r="B15" s="1" t="str">
        <f>B14&amp;" EV"</f>
        <v>LV Sub Site Specific Band 2 EV</v>
      </c>
      <c r="C15" s="2" t="str">
        <f t="shared" ref="C15" si="48">C14</f>
        <v>S02</v>
      </c>
      <c r="D15" s="3">
        <f t="shared" ref="D15" si="49">D14</f>
        <v>0</v>
      </c>
      <c r="E15" s="4">
        <f t="shared" ref="E15" si="50">E14</f>
        <v>9.9190000000000005</v>
      </c>
      <c r="F15" s="5">
        <f t="shared" ref="F15" si="51">F14</f>
        <v>0.44900000000000001</v>
      </c>
      <c r="G15" s="6">
        <f t="shared" ref="G15" si="52">G14</f>
        <v>4.9000000000000002E-2</v>
      </c>
      <c r="H15" s="7">
        <f t="shared" ref="H15" si="53">H14</f>
        <v>83.54</v>
      </c>
      <c r="I15" s="7">
        <f t="shared" ref="I15" si="54">I14</f>
        <v>10.91</v>
      </c>
      <c r="J15" s="8">
        <f t="shared" ref="J15" si="55">J14</f>
        <v>10.91</v>
      </c>
      <c r="K15" s="9">
        <f t="shared" ref="K15" si="56">K14</f>
        <v>0.107</v>
      </c>
      <c r="L15" s="16"/>
      <c r="M15" s="16"/>
      <c r="N15" s="16"/>
      <c r="O15" s="16"/>
      <c r="P15" s="16"/>
      <c r="Q15" s="15"/>
      <c r="R15" s="15"/>
      <c r="S15" s="15"/>
      <c r="T15" s="15"/>
      <c r="U15" s="16">
        <v>3</v>
      </c>
      <c r="V15" s="15">
        <f>U15/U14*P14*0.2</f>
        <v>124.76668907917571</v>
      </c>
      <c r="W15" s="17">
        <f>VLOOKUP(B14,[2]SWEB!$A$4:$E$24,5,FALSE)</f>
        <v>68.763195782519404</v>
      </c>
      <c r="X15" s="17">
        <f>(V15/U15)/(P14/L14)*W15</f>
        <v>13.842916738108404</v>
      </c>
      <c r="Y15" s="20"/>
      <c r="Z15" s="19">
        <f>X15/X14</f>
        <v>0.20026292047569727</v>
      </c>
      <c r="AA15" s="18"/>
      <c r="AB15" s="18">
        <f t="shared" si="0"/>
        <v>41.528750214325214</v>
      </c>
      <c r="AC15" s="14">
        <f>SUM(AB14:AB15)-AA14</f>
        <v>0</v>
      </c>
    </row>
    <row r="16" spans="1:29" x14ac:dyDescent="0.35">
      <c r="A16" t="s">
        <v>45</v>
      </c>
      <c r="B16" s="1" t="s">
        <v>10</v>
      </c>
      <c r="C16" s="2" t="s">
        <v>11</v>
      </c>
      <c r="D16" s="3">
        <v>0</v>
      </c>
      <c r="E16" s="4">
        <v>9.9190000000000005</v>
      </c>
      <c r="F16" s="5">
        <v>0.44900000000000001</v>
      </c>
      <c r="G16" s="6">
        <v>4.9000000000000002E-2</v>
      </c>
      <c r="H16" s="7">
        <v>120.71</v>
      </c>
      <c r="I16" s="7">
        <v>10.91</v>
      </c>
      <c r="J16" s="8">
        <v>10.91</v>
      </c>
      <c r="K16" s="9">
        <v>0.107</v>
      </c>
      <c r="L16" s="16">
        <f>HLOOKUP($A16,'[1]Inputs by customer type'!$N$5:$P$66,Q16,FALSE)</f>
        <v>309.99882955065385</v>
      </c>
      <c r="M16" s="16">
        <f>HLOOKUP($A16,'[1]Inputs by customer type'!$N$5:$P$66,R16,FALSE)</f>
        <v>6624.7635574307587</v>
      </c>
      <c r="N16" s="16">
        <f>HLOOKUP($A16,'[1]Inputs by customer type'!$N$5:$P$66,S16,FALSE)</f>
        <v>47494.971455975065</v>
      </c>
      <c r="O16" s="16">
        <f>HLOOKUP($A16,'[1]Inputs by customer type'!$N$5:$P$66,T16,FALSE)</f>
        <v>47562.506060804721</v>
      </c>
      <c r="P16" s="16">
        <f>SUM(M16:O16)</f>
        <v>101682.24107421054</v>
      </c>
      <c r="Q16" s="15">
        <f>Q14+9</f>
        <v>49</v>
      </c>
      <c r="R16" s="15">
        <f t="shared" ref="R16:T16" si="57">R14+9</f>
        <v>46</v>
      </c>
      <c r="S16" s="15">
        <f t="shared" si="57"/>
        <v>47</v>
      </c>
      <c r="T16" s="15">
        <f t="shared" si="57"/>
        <v>48</v>
      </c>
      <c r="U16" s="16">
        <f>L16-U17</f>
        <v>306.99882955065385</v>
      </c>
      <c r="V16" s="16">
        <f>P16-V17</f>
        <v>101483.51280956593</v>
      </c>
      <c r="W16" s="17">
        <f>VLOOKUP(B16,[2]SWEB!$A$4:$E$24,5,FALSE)</f>
        <v>105.93345292311514</v>
      </c>
      <c r="X16" s="17">
        <f>(V16/U16)/(P16/L16)*W16</f>
        <v>106.75957716868849</v>
      </c>
      <c r="Y16" s="20"/>
      <c r="Z16" s="19"/>
      <c r="AA16" s="18">
        <f>L16*W16</f>
        <v>32839.246416424983</v>
      </c>
      <c r="AB16" s="18">
        <f t="shared" si="0"/>
        <v>32775.065234110072</v>
      </c>
      <c r="AC16" s="13"/>
    </row>
    <row r="17" spans="1:29" x14ac:dyDescent="0.35">
      <c r="A17" t="s">
        <v>45</v>
      </c>
      <c r="B17" s="1" t="str">
        <f>B16&amp;" EV"</f>
        <v>LV Sub Site Specific Band 3 EV</v>
      </c>
      <c r="C17" s="2" t="str">
        <f t="shared" ref="C17" si="58">C16</f>
        <v>S03</v>
      </c>
      <c r="D17" s="3">
        <f t="shared" ref="D17" si="59">D16</f>
        <v>0</v>
      </c>
      <c r="E17" s="4">
        <f t="shared" ref="E17" si="60">E16</f>
        <v>9.9190000000000005</v>
      </c>
      <c r="F17" s="5">
        <f t="shared" ref="F17" si="61">F16</f>
        <v>0.44900000000000001</v>
      </c>
      <c r="G17" s="6">
        <f t="shared" ref="G17" si="62">G16</f>
        <v>4.9000000000000002E-2</v>
      </c>
      <c r="H17" s="7">
        <f t="shared" ref="H17" si="63">H16</f>
        <v>120.71</v>
      </c>
      <c r="I17" s="7">
        <f t="shared" ref="I17" si="64">I16</f>
        <v>10.91</v>
      </c>
      <c r="J17" s="8">
        <f t="shared" ref="J17" si="65">J16</f>
        <v>10.91</v>
      </c>
      <c r="K17" s="9">
        <f t="shared" ref="K17" si="66">K16</f>
        <v>0.107</v>
      </c>
      <c r="L17" s="16"/>
      <c r="M17" s="16"/>
      <c r="N17" s="16"/>
      <c r="O17" s="16"/>
      <c r="P17" s="16"/>
      <c r="Q17" s="15"/>
      <c r="R17" s="15"/>
      <c r="S17" s="15"/>
      <c r="T17" s="15"/>
      <c r="U17" s="16">
        <v>3</v>
      </c>
      <c r="V17" s="15">
        <f>U17/U16*P16*0.2</f>
        <v>198.72826464460502</v>
      </c>
      <c r="W17" s="17">
        <f>VLOOKUP(B16,[2]SWEB!$A$4:$E$24,5,FALSE)</f>
        <v>105.93345292311514</v>
      </c>
      <c r="X17" s="17">
        <f>(V17/U17)/(P16/L16)*W17</f>
        <v>21.393727438303873</v>
      </c>
      <c r="Y17" s="20"/>
      <c r="Z17" s="19">
        <f>X17/X16</f>
        <v>0.20039164640470716</v>
      </c>
      <c r="AA17" s="18"/>
      <c r="AB17" s="18">
        <f t="shared" si="0"/>
        <v>64.181182314911624</v>
      </c>
      <c r="AC17" s="14">
        <f>SUM(AB16:AB17)-AA16</f>
        <v>0</v>
      </c>
    </row>
    <row r="18" spans="1:29" x14ac:dyDescent="0.35">
      <c r="A18" t="s">
        <v>45</v>
      </c>
      <c r="B18" s="1" t="s">
        <v>12</v>
      </c>
      <c r="C18" s="2" t="s">
        <v>13</v>
      </c>
      <c r="D18" s="3">
        <v>0</v>
      </c>
      <c r="E18" s="4">
        <v>9.9190000000000005</v>
      </c>
      <c r="F18" s="5">
        <v>0.44900000000000001</v>
      </c>
      <c r="G18" s="6">
        <v>4.9000000000000002E-2</v>
      </c>
      <c r="H18" s="7">
        <v>245.16</v>
      </c>
      <c r="I18" s="7">
        <v>10.91</v>
      </c>
      <c r="J18" s="8">
        <v>10.91</v>
      </c>
      <c r="K18" s="9">
        <v>0.107</v>
      </c>
      <c r="L18" s="16">
        <f>HLOOKUP($A18,'[1]Inputs by customer type'!$N$5:$P$66,Q18,FALSE)</f>
        <v>594.00114482336835</v>
      </c>
      <c r="M18" s="16">
        <f>HLOOKUP($A18,'[1]Inputs by customer type'!$N$5:$P$66,R18,FALSE)</f>
        <v>25510.470047488216</v>
      </c>
      <c r="N18" s="16">
        <f>HLOOKUP($A18,'[1]Inputs by customer type'!$N$5:$P$66,S18,FALSE)</f>
        <v>189922.74228421951</v>
      </c>
      <c r="O18" s="16">
        <f>HLOOKUP($A18,'[1]Inputs by customer type'!$N$5:$P$66,T18,FALSE)</f>
        <v>182496.89866606196</v>
      </c>
      <c r="P18" s="16">
        <f>SUM(M18:O18)</f>
        <v>397930.11099776969</v>
      </c>
      <c r="Q18" s="15">
        <f>Q16+9</f>
        <v>58</v>
      </c>
      <c r="R18" s="15">
        <f t="shared" ref="R18:T18" si="67">R16+9</f>
        <v>55</v>
      </c>
      <c r="S18" s="15">
        <f t="shared" si="67"/>
        <v>56</v>
      </c>
      <c r="T18" s="15">
        <f t="shared" si="67"/>
        <v>57</v>
      </c>
      <c r="U18" s="16">
        <f>L18-U19</f>
        <v>591.00114482336835</v>
      </c>
      <c r="V18" s="16">
        <f>P18-V19</f>
        <v>397526.12181993143</v>
      </c>
      <c r="W18" s="17">
        <f>VLOOKUP(B18,[2]SWEB!$A$4:$E$24,5,FALSE)</f>
        <v>230.38429998374099</v>
      </c>
      <c r="X18" s="17">
        <f>(V18/U18)/(P18/L18)*W18</f>
        <v>231.3186816648699</v>
      </c>
      <c r="Y18" s="20"/>
      <c r="Z18" s="19"/>
      <c r="AA18" s="18">
        <f>L18*W18</f>
        <v>136848.53793967247</v>
      </c>
      <c r="AB18" s="18">
        <f t="shared" si="0"/>
        <v>136709.6056829704</v>
      </c>
      <c r="AC18" s="13"/>
    </row>
    <row r="19" spans="1:29" x14ac:dyDescent="0.35">
      <c r="A19" t="s">
        <v>45</v>
      </c>
      <c r="B19" s="1" t="str">
        <f>B18&amp;" EV"</f>
        <v>LV Sub Site Specific Band 4 EV</v>
      </c>
      <c r="C19" s="2" t="str">
        <f t="shared" ref="C19" si="68">C18</f>
        <v>S04</v>
      </c>
      <c r="D19" s="3">
        <f t="shared" ref="D19" si="69">D18</f>
        <v>0</v>
      </c>
      <c r="E19" s="4">
        <f t="shared" ref="E19" si="70">E18</f>
        <v>9.9190000000000005</v>
      </c>
      <c r="F19" s="5">
        <f t="shared" ref="F19" si="71">F18</f>
        <v>0.44900000000000001</v>
      </c>
      <c r="G19" s="6">
        <f t="shared" ref="G19" si="72">G18</f>
        <v>4.9000000000000002E-2</v>
      </c>
      <c r="H19" s="7">
        <f t="shared" ref="H19" si="73">H18</f>
        <v>245.16</v>
      </c>
      <c r="I19" s="7">
        <f t="shared" ref="I19" si="74">I18</f>
        <v>10.91</v>
      </c>
      <c r="J19" s="8">
        <f t="shared" ref="J19" si="75">J18</f>
        <v>10.91</v>
      </c>
      <c r="K19" s="9">
        <f t="shared" ref="K19" si="76">K18</f>
        <v>0.107</v>
      </c>
      <c r="L19" s="16"/>
      <c r="M19" s="16"/>
      <c r="N19" s="16"/>
      <c r="O19" s="16"/>
      <c r="P19" s="16"/>
      <c r="Q19" s="15"/>
      <c r="R19" s="15"/>
      <c r="S19" s="15"/>
      <c r="T19" s="15"/>
      <c r="U19" s="16">
        <v>3</v>
      </c>
      <c r="V19" s="15">
        <f>U19/U18*P18*0.2</f>
        <v>403.989177838258</v>
      </c>
      <c r="W19" s="17">
        <f>VLOOKUP(B18,[2]SWEB!$A$4:$E$24,5,FALSE)</f>
        <v>230.38429998374099</v>
      </c>
      <c r="X19" s="17">
        <f>(V19/U19)/(P18/L18)*W19</f>
        <v>46.31075223401546</v>
      </c>
      <c r="Y19" s="20"/>
      <c r="Z19" s="19">
        <f>X19/X18</f>
        <v>0.20020325163840244</v>
      </c>
      <c r="AA19" s="18"/>
      <c r="AB19" s="18">
        <f t="shared" si="0"/>
        <v>138.93225670204637</v>
      </c>
      <c r="AC19" s="14">
        <f>SUM(AB18:AB19)-AA18</f>
        <v>0</v>
      </c>
    </row>
    <row r="20" spans="1:29" x14ac:dyDescent="0.35">
      <c r="A20" t="s">
        <v>46</v>
      </c>
      <c r="B20" s="1" t="s">
        <v>14</v>
      </c>
      <c r="C20" s="2">
        <v>510</v>
      </c>
      <c r="D20" s="3">
        <v>0</v>
      </c>
      <c r="E20" s="4">
        <v>7.32</v>
      </c>
      <c r="F20" s="5">
        <v>0.26700000000000002</v>
      </c>
      <c r="G20" s="6">
        <v>2.5999999999999999E-2</v>
      </c>
      <c r="H20" s="7">
        <v>357.6</v>
      </c>
      <c r="I20" s="7">
        <v>10.5</v>
      </c>
      <c r="J20" s="8">
        <v>10.5</v>
      </c>
      <c r="K20" s="9">
        <v>7.2999999999999995E-2</v>
      </c>
      <c r="L20" s="16">
        <f>HLOOKUP($A20,'[1]Inputs by customer type'!$N$5:$P$66,Q20,FALSE)</f>
        <v>320.00141327774435</v>
      </c>
      <c r="M20" s="16">
        <f>HLOOKUP($A20,'[1]Inputs by customer type'!$N$5:$P$66,R20,FALSE)</f>
        <v>10710.669577425191</v>
      </c>
      <c r="N20" s="16">
        <f>HLOOKUP($A20,'[1]Inputs by customer type'!$N$5:$P$66,S20,FALSE)</f>
        <v>78631.904338328764</v>
      </c>
      <c r="O20" s="16">
        <f>HLOOKUP($A20,'[1]Inputs by customer type'!$N$5:$P$66,T20,FALSE)</f>
        <v>81861.811075064892</v>
      </c>
      <c r="P20" s="16">
        <f>SUM(M20:O20)</f>
        <v>171204.38499081886</v>
      </c>
      <c r="Q20" s="15">
        <v>31</v>
      </c>
      <c r="R20" s="15">
        <v>28</v>
      </c>
      <c r="S20" s="15">
        <v>29</v>
      </c>
      <c r="T20" s="15">
        <v>30</v>
      </c>
      <c r="U20" s="16">
        <f>L20-U21</f>
        <v>317.00141327774435</v>
      </c>
      <c r="V20" s="16">
        <f>P20-V21</f>
        <v>170880.34028094719</v>
      </c>
      <c r="W20" s="17">
        <f>VLOOKUP(B20,[2]SWEB!$A$4:$E$24,5,FALSE)</f>
        <v>221.12681645025887</v>
      </c>
      <c r="X20" s="17">
        <f>(V20/U20)/(P20/L20)*W20</f>
        <v>222.79699435237211</v>
      </c>
      <c r="Y20" s="20"/>
      <c r="Z20" s="19"/>
      <c r="AA20" s="18">
        <f>L20*W20</f>
        <v>70760.893777691206</v>
      </c>
      <c r="AB20" s="18">
        <f t="shared" si="0"/>
        <v>70626.962083735591</v>
      </c>
      <c r="AC20" s="13"/>
    </row>
    <row r="21" spans="1:29" x14ac:dyDescent="0.35">
      <c r="A21" t="s">
        <v>46</v>
      </c>
      <c r="B21" s="1" t="str">
        <f>B20&amp;" EV"</f>
        <v>HV Site Specific Band 1 EV</v>
      </c>
      <c r="C21" s="2">
        <f t="shared" ref="C21" si="77">C20</f>
        <v>510</v>
      </c>
      <c r="D21" s="3">
        <f t="shared" ref="D21" si="78">D20</f>
        <v>0</v>
      </c>
      <c r="E21" s="4">
        <f t="shared" ref="E21" si="79">E20</f>
        <v>7.32</v>
      </c>
      <c r="F21" s="5">
        <f t="shared" ref="F21" si="80">F20</f>
        <v>0.26700000000000002</v>
      </c>
      <c r="G21" s="6">
        <f t="shared" ref="G21" si="81">G20</f>
        <v>2.5999999999999999E-2</v>
      </c>
      <c r="H21" s="7">
        <f t="shared" ref="H21" si="82">H20</f>
        <v>357.6</v>
      </c>
      <c r="I21" s="7">
        <f t="shared" ref="I21" si="83">I20</f>
        <v>10.5</v>
      </c>
      <c r="J21" s="8">
        <f t="shared" ref="J21" si="84">J20</f>
        <v>10.5</v>
      </c>
      <c r="K21" s="9">
        <f t="shared" ref="K21" si="85">K20</f>
        <v>7.2999999999999995E-2</v>
      </c>
      <c r="L21" s="16"/>
      <c r="M21" s="16"/>
      <c r="N21" s="16"/>
      <c r="O21" s="16"/>
      <c r="P21" s="16"/>
      <c r="Q21" s="15"/>
      <c r="R21" s="15"/>
      <c r="S21" s="15"/>
      <c r="T21" s="15"/>
      <c r="U21" s="16">
        <v>3</v>
      </c>
      <c r="V21" s="15">
        <f>U21/U20*P20*0.2</f>
        <v>324.04470987165519</v>
      </c>
      <c r="W21" s="17">
        <f>VLOOKUP(B20,[2]SWEB!$A$4:$E$24,5,FALSE)</f>
        <v>221.12681645025887</v>
      </c>
      <c r="X21" s="17">
        <f>(V21/U21)/(P20/L20)*W21</f>
        <v>44.643897985207573</v>
      </c>
      <c r="Y21" s="20"/>
      <c r="Z21" s="19">
        <f>X21/X20</f>
        <v>0.20037926505686834</v>
      </c>
      <c r="AA21" s="18"/>
      <c r="AB21" s="18">
        <f t="shared" si="0"/>
        <v>133.93169395562273</v>
      </c>
      <c r="AC21" s="14">
        <f>SUM(AB20:AB21)-AA20</f>
        <v>0</v>
      </c>
    </row>
    <row r="22" spans="1:29" x14ac:dyDescent="0.35">
      <c r="A22" t="s">
        <v>46</v>
      </c>
      <c r="B22" s="1" t="s">
        <v>15</v>
      </c>
      <c r="C22" s="2" t="s">
        <v>16</v>
      </c>
      <c r="D22" s="3">
        <v>0</v>
      </c>
      <c r="E22" s="4">
        <v>7.32</v>
      </c>
      <c r="F22" s="5">
        <v>0.26700000000000002</v>
      </c>
      <c r="G22" s="6">
        <v>2.5999999999999999E-2</v>
      </c>
      <c r="H22" s="7">
        <v>691.78</v>
      </c>
      <c r="I22" s="7">
        <v>10.5</v>
      </c>
      <c r="J22" s="8">
        <v>10.5</v>
      </c>
      <c r="K22" s="9">
        <v>7.2999999999999995E-2</v>
      </c>
      <c r="L22" s="16">
        <f>HLOOKUP($A22,'[1]Inputs by customer type'!$N$5:$P$66,Q22,FALSE)</f>
        <v>401.96756059141728</v>
      </c>
      <c r="M22" s="16">
        <f>HLOOKUP($A22,'[1]Inputs by customer type'!$N$5:$P$66,R22,FALSE)</f>
        <v>34209.99527171738</v>
      </c>
      <c r="N22" s="16">
        <f>HLOOKUP($A22,'[1]Inputs by customer type'!$N$5:$P$66,S22,FALSE)</f>
        <v>245048.39902633528</v>
      </c>
      <c r="O22" s="16">
        <f>HLOOKUP($A22,'[1]Inputs by customer type'!$N$5:$P$66,T22,FALSE)</f>
        <v>261703.85129521578</v>
      </c>
      <c r="P22" s="16">
        <f>SUM(M22:O22)</f>
        <v>540962.24559326842</v>
      </c>
      <c r="Q22" s="15">
        <f>Q20+9</f>
        <v>40</v>
      </c>
      <c r="R22" s="15">
        <f t="shared" ref="R22:T22" si="86">R20+9</f>
        <v>37</v>
      </c>
      <c r="S22" s="15">
        <f t="shared" si="86"/>
        <v>38</v>
      </c>
      <c r="T22" s="15">
        <f t="shared" si="86"/>
        <v>39</v>
      </c>
      <c r="U22" s="16">
        <f>L22-U23</f>
        <v>398.96756059141728</v>
      </c>
      <c r="V22" s="16">
        <f>P22-V23</f>
        <v>540148.70238971873</v>
      </c>
      <c r="W22" s="17">
        <f>VLOOKUP(B22,[2]SWEB!$A$4:$E$24,5,FALSE)</f>
        <v>555.30690047189148</v>
      </c>
      <c r="X22" s="17">
        <f>(V22/U22)/(P22/L22)*W22</f>
        <v>558.64108436283129</v>
      </c>
      <c r="Y22" s="20"/>
      <c r="Z22" s="19"/>
      <c r="AA22" s="18">
        <f>L22*W22</f>
        <v>223215.36016226717</v>
      </c>
      <c r="AB22" s="18">
        <f t="shared" si="0"/>
        <v>222879.67067438294</v>
      </c>
      <c r="AC22" s="13"/>
    </row>
    <row r="23" spans="1:29" x14ac:dyDescent="0.35">
      <c r="A23" t="s">
        <v>46</v>
      </c>
      <c r="B23" s="1" t="str">
        <f>B22&amp;" EV"</f>
        <v>HV Site Specific Band 2 EV</v>
      </c>
      <c r="C23" s="2" t="str">
        <f t="shared" ref="C23" si="87">C22</f>
        <v>H02</v>
      </c>
      <c r="D23" s="3">
        <f t="shared" ref="D23" si="88">D22</f>
        <v>0</v>
      </c>
      <c r="E23" s="4">
        <f t="shared" ref="E23" si="89">E22</f>
        <v>7.32</v>
      </c>
      <c r="F23" s="5">
        <f t="shared" ref="F23" si="90">F22</f>
        <v>0.26700000000000002</v>
      </c>
      <c r="G23" s="6">
        <f t="shared" ref="G23" si="91">G22</f>
        <v>2.5999999999999999E-2</v>
      </c>
      <c r="H23" s="7">
        <f t="shared" ref="H23" si="92">H22</f>
        <v>691.78</v>
      </c>
      <c r="I23" s="7">
        <f t="shared" ref="I23" si="93">I22</f>
        <v>10.5</v>
      </c>
      <c r="J23" s="8">
        <f t="shared" ref="J23" si="94">J22</f>
        <v>10.5</v>
      </c>
      <c r="K23" s="9">
        <f t="shared" ref="K23" si="95">K22</f>
        <v>7.2999999999999995E-2</v>
      </c>
      <c r="L23" s="16"/>
      <c r="M23" s="16"/>
      <c r="N23" s="16"/>
      <c r="O23" s="16"/>
      <c r="P23" s="16"/>
      <c r="Q23" s="15"/>
      <c r="R23" s="15"/>
      <c r="S23" s="15"/>
      <c r="T23" s="15"/>
      <c r="U23" s="16">
        <v>3</v>
      </c>
      <c r="V23" s="15">
        <f>U23/U22*P22*0.2</f>
        <v>813.54320354972606</v>
      </c>
      <c r="W23" s="17">
        <f>VLOOKUP(B22,[2]SWEB!$A$4:$E$24,5,FALSE)</f>
        <v>555.30690047189148</v>
      </c>
      <c r="X23" s="17">
        <f>(V23/U23)/(P22/L22)*W23</f>
        <v>111.89649596141581</v>
      </c>
      <c r="Y23" s="20"/>
      <c r="Z23" s="19">
        <f>X23/X22</f>
        <v>0.20030122934664121</v>
      </c>
      <c r="AA23" s="18"/>
      <c r="AB23" s="18">
        <f t="shared" si="0"/>
        <v>335.68948788424746</v>
      </c>
      <c r="AC23" s="14">
        <f>SUM(AB22:AB23)-AA22</f>
        <v>0</v>
      </c>
    </row>
    <row r="24" spans="1:29" x14ac:dyDescent="0.35">
      <c r="A24" t="s">
        <v>46</v>
      </c>
      <c r="B24" s="1" t="s">
        <v>17</v>
      </c>
      <c r="C24" s="2" t="s">
        <v>18</v>
      </c>
      <c r="D24" s="3">
        <v>0</v>
      </c>
      <c r="E24" s="4">
        <v>7.32</v>
      </c>
      <c r="F24" s="5">
        <v>0.26700000000000002</v>
      </c>
      <c r="G24" s="6">
        <v>2.5999999999999999E-2</v>
      </c>
      <c r="H24" s="7">
        <v>1348.71</v>
      </c>
      <c r="I24" s="7">
        <v>10.5</v>
      </c>
      <c r="J24" s="8">
        <v>10.5</v>
      </c>
      <c r="K24" s="9">
        <v>7.2999999999999995E-2</v>
      </c>
      <c r="L24" s="16">
        <f>HLOOKUP($A24,'[1]Inputs by customer type'!$N$5:$P$66,Q24,FALSE)</f>
        <v>125.99994761710384</v>
      </c>
      <c r="M24" s="16">
        <f>HLOOKUP($A24,'[1]Inputs by customer type'!$N$5:$P$66,R24,FALSE)</f>
        <v>22948.968177748655</v>
      </c>
      <c r="N24" s="16">
        <f>HLOOKUP($A24,'[1]Inputs by customer type'!$N$5:$P$66,S24,FALSE)</f>
        <v>166988.03110608357</v>
      </c>
      <c r="O24" s="16">
        <f>HLOOKUP($A24,'[1]Inputs by customer type'!$N$5:$P$66,T24,FALSE)</f>
        <v>182155.80640314257</v>
      </c>
      <c r="P24" s="16">
        <f>SUM(M24:O24)</f>
        <v>372092.80568697478</v>
      </c>
      <c r="Q24" s="15">
        <f>Q22+9</f>
        <v>49</v>
      </c>
      <c r="R24" s="15">
        <f t="shared" ref="R24:T24" si="96">R22+9</f>
        <v>46</v>
      </c>
      <c r="S24" s="15">
        <f t="shared" si="96"/>
        <v>47</v>
      </c>
      <c r="T24" s="15">
        <f t="shared" si="96"/>
        <v>48</v>
      </c>
      <c r="U24" s="16">
        <f>L24-U25</f>
        <v>122.99994761710384</v>
      </c>
      <c r="V24" s="16">
        <f>P24-V25</f>
        <v>370277.71805696073</v>
      </c>
      <c r="W24" s="17">
        <f>VLOOKUP(B24,[2]SWEB!$A$4:$E$24,5,FALSE)</f>
        <v>1212.235195208639</v>
      </c>
      <c r="X24" s="17">
        <f>(V24/U24)/(P24/L24)*W24</f>
        <v>1235.7443469580387</v>
      </c>
      <c r="Y24" s="20"/>
      <c r="Z24" s="19"/>
      <c r="AA24" s="18">
        <f>L24*W24</f>
        <v>152741.57109589817</v>
      </c>
      <c r="AB24" s="18">
        <f t="shared" si="0"/>
        <v>151996.48994397096</v>
      </c>
      <c r="AC24" s="13"/>
    </row>
    <row r="25" spans="1:29" x14ac:dyDescent="0.35">
      <c r="A25" t="s">
        <v>46</v>
      </c>
      <c r="B25" s="1" t="str">
        <f>B24&amp;" EV"</f>
        <v>HV Site Specific Band 3 EV</v>
      </c>
      <c r="C25" s="2" t="str">
        <f t="shared" ref="C25" si="97">C24</f>
        <v>H03</v>
      </c>
      <c r="D25" s="3">
        <f t="shared" ref="D25" si="98">D24</f>
        <v>0</v>
      </c>
      <c r="E25" s="4">
        <f t="shared" ref="E25" si="99">E24</f>
        <v>7.32</v>
      </c>
      <c r="F25" s="5">
        <f t="shared" ref="F25" si="100">F24</f>
        <v>0.26700000000000002</v>
      </c>
      <c r="G25" s="6">
        <f t="shared" ref="G25" si="101">G24</f>
        <v>2.5999999999999999E-2</v>
      </c>
      <c r="H25" s="7">
        <f t="shared" ref="H25" si="102">H24</f>
        <v>1348.71</v>
      </c>
      <c r="I25" s="7">
        <f t="shared" ref="I25" si="103">I24</f>
        <v>10.5</v>
      </c>
      <c r="J25" s="8">
        <f t="shared" ref="J25" si="104">J24</f>
        <v>10.5</v>
      </c>
      <c r="K25" s="9">
        <f t="shared" ref="K25" si="105">K24</f>
        <v>7.2999999999999995E-2</v>
      </c>
      <c r="L25" s="16"/>
      <c r="M25" s="16"/>
      <c r="N25" s="16"/>
      <c r="O25" s="16"/>
      <c r="P25" s="16"/>
      <c r="Q25" s="15"/>
      <c r="R25" s="15"/>
      <c r="S25" s="15"/>
      <c r="T25" s="15"/>
      <c r="U25" s="16">
        <v>3</v>
      </c>
      <c r="V25" s="15">
        <f>U25/U24*P24*0.2</f>
        <v>1815.087630014079</v>
      </c>
      <c r="W25" s="17">
        <f>VLOOKUP(B24,[2]SWEB!$A$4:$E$24,5,FALSE)</f>
        <v>1212.235195208639</v>
      </c>
      <c r="X25" s="17">
        <f>(V25/U25)/(P24/L24)*W25</f>
        <v>248.3603839757385</v>
      </c>
      <c r="Y25" s="20"/>
      <c r="Z25" s="19">
        <f>X25/X24</f>
        <v>0.20098039257643627</v>
      </c>
      <c r="AA25" s="18"/>
      <c r="AB25" s="18">
        <f t="shared" si="0"/>
        <v>745.0811519272155</v>
      </c>
      <c r="AC25" s="14">
        <f>SUM(AB24:AB25)-AA24</f>
        <v>0</v>
      </c>
    </row>
    <row r="26" spans="1:29" x14ac:dyDescent="0.35">
      <c r="A26" t="s">
        <v>46</v>
      </c>
      <c r="B26" s="1" t="s">
        <v>19</v>
      </c>
      <c r="C26" s="2" t="s">
        <v>20</v>
      </c>
      <c r="D26" s="3">
        <v>0</v>
      </c>
      <c r="E26" s="4">
        <v>7.32</v>
      </c>
      <c r="F26" s="5">
        <v>0.26700000000000002</v>
      </c>
      <c r="G26" s="6">
        <v>2.5999999999999999E-2</v>
      </c>
      <c r="H26" s="7">
        <v>3146.48</v>
      </c>
      <c r="I26" s="7">
        <v>10.5</v>
      </c>
      <c r="J26" s="8">
        <v>10.5</v>
      </c>
      <c r="K26" s="9">
        <v>7.2999999999999995E-2</v>
      </c>
      <c r="L26" s="16">
        <f>HLOOKUP($A26,'[1]Inputs by customer type'!$N$5:$P$66,Q26,FALSE)</f>
        <v>130.00005897439797</v>
      </c>
      <c r="M26" s="16">
        <f>HLOOKUP($A26,'[1]Inputs by customer type'!$N$5:$P$66,R26,FALSE)</f>
        <v>60440.260134903299</v>
      </c>
      <c r="N26" s="16">
        <f>HLOOKUP($A26,'[1]Inputs by customer type'!$N$5:$P$66,S26,FALSE)</f>
        <v>406400.85824218945</v>
      </c>
      <c r="O26" s="16">
        <f>HLOOKUP($A26,'[1]Inputs by customer type'!$N$5:$P$66,T26,FALSE)</f>
        <v>487004.32765408914</v>
      </c>
      <c r="P26" s="16">
        <f>SUM(M26:O26)</f>
        <v>953845.44603118184</v>
      </c>
      <c r="Q26" s="15">
        <f>Q24+9</f>
        <v>58</v>
      </c>
      <c r="R26" s="15">
        <f t="shared" ref="R26:T26" si="106">R24+9</f>
        <v>55</v>
      </c>
      <c r="S26" s="15">
        <f t="shared" si="106"/>
        <v>56</v>
      </c>
      <c r="T26" s="15">
        <f t="shared" si="106"/>
        <v>57</v>
      </c>
      <c r="U26" s="16">
        <f>L26-U27</f>
        <v>127.00005897439797</v>
      </c>
      <c r="V26" s="16">
        <f>P26-V27</f>
        <v>949339.09168583399</v>
      </c>
      <c r="W26" s="17">
        <f>VLOOKUP(B26,[2]SWEB!$A$4:$E$24,5,FALSE)</f>
        <v>3010.008239338958</v>
      </c>
      <c r="X26" s="17">
        <f>(V26/U26)/(P26/L26)*W26</f>
        <v>3066.554341113374</v>
      </c>
      <c r="Y26" s="20"/>
      <c r="Z26" s="19"/>
      <c r="AA26" s="18">
        <f>L26*W26</f>
        <v>391301.24862748833</v>
      </c>
      <c r="AB26" s="18">
        <f t="shared" si="0"/>
        <v>389452.58216959459</v>
      </c>
      <c r="AC26" s="13"/>
    </row>
    <row r="27" spans="1:29" x14ac:dyDescent="0.35">
      <c r="A27" t="s">
        <v>46</v>
      </c>
      <c r="B27" s="1" t="str">
        <f>B26&amp;" EV"</f>
        <v>HV Site Specific Band 4 EV</v>
      </c>
      <c r="C27" s="2" t="str">
        <f t="shared" ref="C27:K27" si="107">C26</f>
        <v>H04</v>
      </c>
      <c r="D27" s="3">
        <f t="shared" si="107"/>
        <v>0</v>
      </c>
      <c r="E27" s="4">
        <f t="shared" si="107"/>
        <v>7.32</v>
      </c>
      <c r="F27" s="5">
        <f t="shared" si="107"/>
        <v>0.26700000000000002</v>
      </c>
      <c r="G27" s="6">
        <f t="shared" si="107"/>
        <v>2.5999999999999999E-2</v>
      </c>
      <c r="H27" s="7">
        <f t="shared" si="107"/>
        <v>3146.48</v>
      </c>
      <c r="I27" s="7">
        <f t="shared" si="107"/>
        <v>10.5</v>
      </c>
      <c r="J27" s="8">
        <f t="shared" si="107"/>
        <v>10.5</v>
      </c>
      <c r="K27" s="9">
        <f t="shared" si="107"/>
        <v>7.2999999999999995E-2</v>
      </c>
      <c r="L27" s="16"/>
      <c r="M27" s="16"/>
      <c r="N27" s="16"/>
      <c r="O27" s="16"/>
      <c r="P27" s="16"/>
      <c r="Q27" s="15"/>
      <c r="R27" s="15"/>
      <c r="S27" s="15"/>
      <c r="T27" s="15"/>
      <c r="U27" s="16">
        <v>3</v>
      </c>
      <c r="V27" s="15">
        <f>U27/U26*P26*0.2</f>
        <v>4506.3543453478305</v>
      </c>
      <c r="W27" s="17">
        <f>VLOOKUP(B26,[2]SWEB!$A$4:$E$24,5,FALSE)</f>
        <v>3010.008239338958</v>
      </c>
      <c r="X27" s="17">
        <f>(V27/U27)/(P26/L26)*W27</f>
        <v>616.22215263123769</v>
      </c>
      <c r="Y27" s="20"/>
      <c r="Z27" s="19">
        <f>X27/X26</f>
        <v>0.20094936664566196</v>
      </c>
      <c r="AA27" s="18"/>
      <c r="AB27" s="18">
        <f t="shared" si="0"/>
        <v>1848.666457893713</v>
      </c>
      <c r="AC27" s="14">
        <f>SUM(AB26:AB27)-AA26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Western Power Distribution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Wornell, Dave I.</dc:creator>
  <cp:lastModifiedBy>Craig Booth</cp:lastModifiedBy>
  <dcterms:created xsi:type="dcterms:W3CDTF">2024-05-16T13:53:04Z</dcterms:created>
  <dcterms:modified xsi:type="dcterms:W3CDTF">2024-05-16T15:43:41Z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