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P&amp;S\REG\Clause 35A\Aug 2024\"/>
    </mc:Choice>
  </mc:AlternateContent>
  <bookViews>
    <workbookView xWindow="0" yWindow="0" windowWidth="38400" windowHeight="12000"/>
  </bookViews>
  <sheets>
    <sheet name="Table1" sheetId="6" r:id="rId1"/>
    <sheet name="Table2" sheetId="7" r:id="rId2"/>
    <sheet name="Table 1 ED2 Detailed" sheetId="1" r:id="rId3"/>
    <sheet name="CDCM Input Version" sheetId="2" r:id="rId4"/>
    <sheet name="Delta From Previous" sheetId="3" r:id="rId5"/>
    <sheet name="Table 2 v2" sheetId="4" r:id="rId6"/>
    <sheet name="Illustrative Prices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6" l="1"/>
  <c r="H97" i="3" l="1"/>
  <c r="G97" i="3"/>
  <c r="F97" i="3"/>
  <c r="E97" i="3"/>
  <c r="D97" i="3"/>
  <c r="I96" i="3"/>
  <c r="H96" i="3"/>
  <c r="G96" i="3"/>
  <c r="F96" i="3"/>
  <c r="E96" i="3"/>
  <c r="D96" i="3"/>
  <c r="I93" i="3"/>
  <c r="H93" i="3"/>
  <c r="G93" i="3"/>
  <c r="F93" i="3"/>
  <c r="E93" i="3"/>
  <c r="D93" i="3"/>
  <c r="D91" i="3"/>
  <c r="I90" i="3"/>
  <c r="H90" i="3"/>
  <c r="G90" i="3"/>
  <c r="F90" i="3"/>
  <c r="E90" i="3"/>
  <c r="I89" i="3"/>
  <c r="H89" i="3"/>
  <c r="G89" i="3"/>
  <c r="F89" i="3"/>
  <c r="E89" i="3"/>
  <c r="I85" i="3"/>
  <c r="H85" i="3"/>
  <c r="G85" i="3"/>
  <c r="F85" i="3"/>
  <c r="E85" i="3"/>
  <c r="D85" i="3"/>
  <c r="C85" i="3"/>
  <c r="B85" i="3"/>
  <c r="I84" i="3"/>
  <c r="H84" i="3"/>
  <c r="G84" i="3"/>
  <c r="F84" i="3"/>
  <c r="E84" i="3"/>
  <c r="D84" i="3"/>
  <c r="C84" i="3"/>
  <c r="B84" i="3"/>
  <c r="I81" i="3"/>
  <c r="H81" i="3"/>
  <c r="G81" i="3"/>
  <c r="F81" i="3"/>
  <c r="E81" i="3"/>
  <c r="I80" i="3"/>
  <c r="H80" i="3"/>
  <c r="G80" i="3"/>
  <c r="F80" i="3"/>
  <c r="E80" i="3"/>
  <c r="I78" i="3"/>
  <c r="H78" i="3"/>
  <c r="G78" i="3"/>
  <c r="F78" i="3"/>
  <c r="E78" i="3"/>
  <c r="I77" i="3"/>
  <c r="H77" i="3"/>
  <c r="G77" i="3"/>
  <c r="F77" i="3"/>
  <c r="E77" i="3"/>
  <c r="I76" i="3"/>
  <c r="H76" i="3"/>
  <c r="G76" i="3"/>
  <c r="F76" i="3"/>
  <c r="E76" i="3"/>
  <c r="I75" i="3"/>
  <c r="H75" i="3"/>
  <c r="G75" i="3"/>
  <c r="F75" i="3"/>
  <c r="E75" i="3"/>
  <c r="I74" i="3"/>
  <c r="H74" i="3"/>
  <c r="G74" i="3"/>
  <c r="F74" i="3"/>
  <c r="E74" i="3"/>
  <c r="I47" i="3"/>
  <c r="H47" i="3"/>
  <c r="G47" i="3"/>
  <c r="F47" i="3"/>
  <c r="E47" i="3"/>
  <c r="I46" i="3"/>
  <c r="H46" i="3"/>
  <c r="G46" i="3"/>
  <c r="F46" i="3"/>
  <c r="E46" i="3"/>
  <c r="I44" i="3"/>
  <c r="H44" i="3"/>
  <c r="G44" i="3"/>
  <c r="F44" i="3"/>
  <c r="E44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72" i="3"/>
  <c r="H72" i="3"/>
  <c r="G72" i="3"/>
  <c r="F72" i="3"/>
  <c r="E72" i="3"/>
  <c r="I71" i="3"/>
  <c r="H71" i="3"/>
  <c r="G71" i="3"/>
  <c r="F71" i="3"/>
  <c r="E71" i="3"/>
  <c r="I70" i="3"/>
  <c r="H70" i="3"/>
  <c r="G70" i="3"/>
  <c r="F70" i="3"/>
  <c r="E70" i="3"/>
  <c r="I69" i="3"/>
  <c r="H69" i="3"/>
  <c r="G69" i="3"/>
  <c r="F69" i="3"/>
  <c r="E69" i="3"/>
  <c r="I68" i="3"/>
  <c r="H68" i="3"/>
  <c r="G68" i="3"/>
  <c r="F68" i="3"/>
  <c r="E68" i="3"/>
  <c r="I67" i="3"/>
  <c r="H67" i="3"/>
  <c r="G67" i="3"/>
  <c r="F67" i="3"/>
  <c r="E67" i="3"/>
  <c r="I66" i="3"/>
  <c r="H66" i="3"/>
  <c r="G66" i="3"/>
  <c r="F66" i="3"/>
  <c r="E66" i="3"/>
  <c r="I65" i="3"/>
  <c r="H65" i="3"/>
  <c r="G65" i="3"/>
  <c r="F65" i="3"/>
  <c r="E65" i="3"/>
  <c r="I62" i="3"/>
  <c r="H62" i="3"/>
  <c r="G62" i="3"/>
  <c r="F62" i="3"/>
  <c r="E62" i="3"/>
  <c r="I61" i="3"/>
  <c r="H61" i="3"/>
  <c r="G61" i="3"/>
  <c r="F61" i="3"/>
  <c r="E61" i="3"/>
  <c r="I60" i="3"/>
  <c r="H60" i="3"/>
  <c r="G60" i="3"/>
  <c r="F60" i="3"/>
  <c r="E60" i="3"/>
  <c r="I59" i="3"/>
  <c r="H59" i="3"/>
  <c r="G59" i="3"/>
  <c r="F59" i="3"/>
  <c r="E59" i="3"/>
  <c r="I58" i="3"/>
  <c r="H58" i="3"/>
  <c r="G58" i="3"/>
  <c r="F58" i="3"/>
  <c r="E58" i="3"/>
  <c r="I57" i="3"/>
  <c r="H57" i="3"/>
  <c r="G57" i="3"/>
  <c r="F57" i="3"/>
  <c r="E57" i="3"/>
  <c r="I56" i="3"/>
  <c r="H56" i="3"/>
  <c r="G56" i="3"/>
  <c r="F56" i="3"/>
  <c r="E56" i="3"/>
  <c r="I55" i="3"/>
  <c r="H55" i="3"/>
  <c r="G55" i="3"/>
  <c r="F55" i="3"/>
  <c r="E55" i="3"/>
  <c r="I54" i="3"/>
  <c r="H54" i="3"/>
  <c r="G54" i="3"/>
  <c r="F54" i="3"/>
  <c r="E54" i="3"/>
  <c r="I53" i="3"/>
  <c r="H53" i="3"/>
  <c r="G53" i="3"/>
  <c r="F53" i="3"/>
  <c r="E53" i="3"/>
  <c r="I52" i="3"/>
  <c r="H52" i="3"/>
  <c r="G52" i="3"/>
  <c r="F52" i="3"/>
  <c r="E52" i="3"/>
  <c r="I51" i="3"/>
  <c r="H51" i="3"/>
  <c r="G51" i="3"/>
  <c r="F51" i="3"/>
  <c r="E51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9" i="3"/>
  <c r="H9" i="3"/>
  <c r="G9" i="3"/>
  <c r="F9" i="3"/>
  <c r="E9" i="3"/>
  <c r="I8" i="3"/>
  <c r="H8" i="3"/>
  <c r="G8" i="3"/>
  <c r="F8" i="3"/>
  <c r="E8" i="3"/>
  <c r="I7" i="3"/>
  <c r="H7" i="3"/>
  <c r="G7" i="3"/>
  <c r="F7" i="3"/>
  <c r="E7" i="3"/>
  <c r="I6" i="3"/>
  <c r="H6" i="3"/>
  <c r="G6" i="3"/>
  <c r="F6" i="3"/>
  <c r="E6" i="3"/>
  <c r="I5" i="3"/>
  <c r="H5" i="3"/>
  <c r="G5" i="3"/>
  <c r="F5" i="3"/>
  <c r="E5" i="3"/>
  <c r="I4" i="3"/>
  <c r="H4" i="3"/>
  <c r="G4" i="3"/>
  <c r="F4" i="3"/>
  <c r="E4" i="3"/>
  <c r="I3" i="3"/>
  <c r="H3" i="3"/>
  <c r="G3" i="3"/>
  <c r="F3" i="3"/>
  <c r="E3" i="3"/>
  <c r="H27" i="4"/>
  <c r="G27" i="4"/>
  <c r="F27" i="4"/>
  <c r="E27" i="4"/>
  <c r="D27" i="4"/>
  <c r="I26" i="4"/>
  <c r="H26" i="4"/>
  <c r="G26" i="4"/>
  <c r="F26" i="4"/>
  <c r="E26" i="4"/>
  <c r="D26" i="4"/>
  <c r="G19" i="4"/>
  <c r="F19" i="4"/>
  <c r="E19" i="4"/>
  <c r="I15" i="4"/>
  <c r="H15" i="4"/>
  <c r="G15" i="4"/>
  <c r="F15" i="4"/>
  <c r="E15" i="4"/>
  <c r="D15" i="4"/>
  <c r="C15" i="4"/>
  <c r="B15" i="4"/>
  <c r="I14" i="4"/>
  <c r="H14" i="4"/>
  <c r="G14" i="4"/>
  <c r="F14" i="4"/>
  <c r="E14" i="4"/>
  <c r="D14" i="4"/>
  <c r="C14" i="4"/>
  <c r="B14" i="4"/>
  <c r="H37" i="2"/>
  <c r="G37" i="2"/>
  <c r="F37" i="2"/>
  <c r="E37" i="2"/>
  <c r="D37" i="2"/>
  <c r="I36" i="2"/>
  <c r="H36" i="2"/>
  <c r="G36" i="2"/>
  <c r="F36" i="2"/>
  <c r="E36" i="2"/>
  <c r="D36" i="2"/>
  <c r="I30" i="2"/>
  <c r="H30" i="2"/>
  <c r="G30" i="2"/>
  <c r="F30" i="2"/>
  <c r="G29" i="2"/>
  <c r="F29" i="2"/>
  <c r="E29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H97" i="1"/>
  <c r="G97" i="1"/>
  <c r="F97" i="1"/>
  <c r="E97" i="1"/>
  <c r="D97" i="1"/>
  <c r="I96" i="1"/>
  <c r="H96" i="1"/>
  <c r="G96" i="1"/>
  <c r="F96" i="1"/>
  <c r="E96" i="1"/>
  <c r="D96" i="1"/>
  <c r="I90" i="1"/>
  <c r="H90" i="1"/>
  <c r="G90" i="1"/>
  <c r="F90" i="1"/>
  <c r="G89" i="1"/>
  <c r="F89" i="1"/>
  <c r="E89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1" i="1"/>
  <c r="H81" i="1"/>
  <c r="G81" i="1"/>
  <c r="F81" i="1"/>
  <c r="E81" i="1"/>
  <c r="I78" i="1"/>
  <c r="H78" i="1"/>
  <c r="G78" i="1"/>
  <c r="F78" i="1"/>
  <c r="E78" i="1"/>
  <c r="I77" i="1"/>
  <c r="H77" i="1"/>
  <c r="G77" i="1"/>
  <c r="F77" i="1"/>
  <c r="I76" i="1"/>
  <c r="H76" i="1"/>
  <c r="G76" i="1"/>
  <c r="F76" i="1"/>
  <c r="E76" i="1"/>
  <c r="E75" i="1"/>
  <c r="I74" i="1"/>
  <c r="H74" i="1"/>
  <c r="G74" i="1"/>
  <c r="F74" i="1"/>
  <c r="E74" i="1"/>
  <c r="I47" i="1"/>
  <c r="H47" i="1"/>
  <c r="G47" i="1"/>
  <c r="F47" i="1"/>
  <c r="E47" i="1"/>
  <c r="I46" i="1"/>
  <c r="H46" i="1"/>
  <c r="G46" i="1"/>
  <c r="F46" i="1"/>
  <c r="E46" i="1"/>
  <c r="I44" i="1"/>
  <c r="H44" i="1"/>
  <c r="G44" i="1"/>
  <c r="F44" i="1"/>
  <c r="E44" i="1"/>
  <c r="I42" i="1"/>
  <c r="H42" i="1"/>
  <c r="G42" i="1"/>
  <c r="F42" i="1"/>
  <c r="E42" i="1"/>
  <c r="I41" i="1"/>
  <c r="H41" i="1"/>
  <c r="G41" i="1"/>
  <c r="F41" i="1"/>
  <c r="E41" i="1"/>
  <c r="I40" i="1"/>
  <c r="H40" i="1"/>
  <c r="G40" i="1"/>
  <c r="F40" i="1"/>
  <c r="E40" i="1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H8" i="2"/>
  <c r="G8" i="2"/>
  <c r="F8" i="2"/>
  <c r="E8" i="2"/>
  <c r="I7" i="2"/>
  <c r="H7" i="2"/>
  <c r="G7" i="2"/>
  <c r="F7" i="2"/>
  <c r="E7" i="2"/>
  <c r="I6" i="2"/>
  <c r="H6" i="2"/>
  <c r="G6" i="2"/>
  <c r="F6" i="2"/>
  <c r="E6" i="2"/>
  <c r="I72" i="1"/>
  <c r="H72" i="1"/>
  <c r="G72" i="1"/>
  <c r="F72" i="1"/>
  <c r="E72" i="1"/>
  <c r="I62" i="1"/>
  <c r="H62" i="1"/>
  <c r="G62" i="1"/>
  <c r="F62" i="1"/>
  <c r="E62" i="1"/>
  <c r="I61" i="1"/>
  <c r="H61" i="1"/>
  <c r="G61" i="1"/>
  <c r="F61" i="1"/>
  <c r="E61" i="1"/>
  <c r="I60" i="1"/>
  <c r="H60" i="1"/>
  <c r="G60" i="1"/>
  <c r="F60" i="1"/>
  <c r="E60" i="1"/>
  <c r="I59" i="1"/>
  <c r="H59" i="1"/>
  <c r="G59" i="1"/>
  <c r="F59" i="1"/>
  <c r="E59" i="1"/>
  <c r="I58" i="1"/>
  <c r="H58" i="1"/>
  <c r="G58" i="1"/>
  <c r="F58" i="1"/>
  <c r="E58" i="1"/>
  <c r="I57" i="1"/>
  <c r="H57" i="1"/>
  <c r="G57" i="1"/>
  <c r="F57" i="1"/>
  <c r="E57" i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I53" i="1"/>
  <c r="H53" i="1"/>
  <c r="G53" i="1"/>
  <c r="F53" i="1"/>
  <c r="E53" i="1"/>
  <c r="I52" i="1"/>
  <c r="H52" i="1"/>
  <c r="G52" i="1"/>
  <c r="F52" i="1"/>
  <c r="E52" i="1"/>
  <c r="I51" i="1"/>
  <c r="H51" i="1"/>
  <c r="G51" i="1"/>
  <c r="F51" i="1"/>
  <c r="E51" i="1"/>
  <c r="I35" i="1"/>
  <c r="H35" i="1"/>
  <c r="G35" i="1"/>
  <c r="F35" i="1"/>
  <c r="E35" i="1"/>
  <c r="I34" i="1"/>
  <c r="H34" i="1"/>
  <c r="G34" i="1"/>
  <c r="F34" i="1"/>
  <c r="E34" i="1"/>
  <c r="I33" i="1"/>
  <c r="H33" i="1"/>
  <c r="G33" i="1"/>
  <c r="F33" i="1"/>
  <c r="E33" i="1"/>
  <c r="I32" i="1"/>
  <c r="H32" i="1"/>
  <c r="G32" i="1"/>
  <c r="F32" i="1"/>
  <c r="E32" i="1"/>
  <c r="I31" i="1"/>
  <c r="H31" i="1"/>
  <c r="G31" i="1"/>
  <c r="F31" i="1"/>
  <c r="E31" i="1"/>
  <c r="I30" i="1"/>
  <c r="H30" i="1"/>
  <c r="G30" i="1"/>
  <c r="F30" i="1"/>
  <c r="E30" i="1"/>
  <c r="I29" i="1"/>
  <c r="H29" i="1"/>
  <c r="G29" i="1"/>
  <c r="F29" i="1"/>
  <c r="E29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3" i="1"/>
  <c r="H13" i="1"/>
  <c r="G13" i="1"/>
  <c r="F13" i="1"/>
  <c r="E13" i="1"/>
  <c r="I12" i="1"/>
  <c r="H12" i="1"/>
  <c r="G12" i="1"/>
  <c r="F12" i="1"/>
  <c r="E12" i="1"/>
  <c r="I11" i="1"/>
  <c r="H11" i="1"/>
  <c r="G11" i="1"/>
  <c r="F11" i="1"/>
  <c r="E11" i="1"/>
  <c r="I27" i="1"/>
  <c r="H27" i="1"/>
  <c r="G27" i="1"/>
  <c r="F27" i="1"/>
  <c r="E27" i="1"/>
  <c r="I26" i="1"/>
  <c r="H26" i="1"/>
  <c r="G26" i="1"/>
  <c r="F26" i="1"/>
  <c r="E26" i="1"/>
  <c r="I25" i="1"/>
  <c r="H25" i="1"/>
  <c r="G25" i="1"/>
  <c r="F25" i="1"/>
  <c r="E25" i="1"/>
  <c r="I24" i="1"/>
  <c r="H24" i="1"/>
  <c r="G24" i="1"/>
  <c r="F24" i="1"/>
  <c r="E24" i="1"/>
  <c r="I23" i="1"/>
  <c r="H23" i="1"/>
  <c r="G23" i="1"/>
  <c r="F23" i="1"/>
  <c r="E23" i="1"/>
  <c r="I22" i="1"/>
  <c r="H22" i="1"/>
  <c r="G22" i="1"/>
  <c r="F22" i="1"/>
  <c r="E22" i="1"/>
  <c r="I21" i="1"/>
  <c r="H21" i="1"/>
  <c r="G21" i="1"/>
  <c r="F21" i="1"/>
  <c r="E21" i="1"/>
  <c r="I9" i="1"/>
  <c r="H9" i="1"/>
  <c r="G9" i="1"/>
  <c r="F9" i="1"/>
  <c r="E9" i="1"/>
  <c r="I8" i="1"/>
  <c r="H8" i="1"/>
  <c r="G8" i="1"/>
  <c r="F8" i="1"/>
  <c r="E8" i="1"/>
  <c r="I7" i="1"/>
  <c r="H7" i="1"/>
  <c r="G7" i="1"/>
  <c r="F7" i="1"/>
  <c r="E7" i="1"/>
  <c r="I6" i="1"/>
  <c r="H6" i="1"/>
  <c r="G6" i="1"/>
  <c r="F6" i="1"/>
  <c r="E6" i="1"/>
  <c r="I5" i="1"/>
  <c r="H5" i="1"/>
  <c r="G5" i="1"/>
  <c r="F5" i="1"/>
  <c r="E5" i="1"/>
  <c r="I4" i="1"/>
  <c r="H4" i="1"/>
  <c r="G4" i="1"/>
  <c r="F4" i="1"/>
  <c r="E4" i="1"/>
  <c r="I3" i="1"/>
  <c r="H3" i="1"/>
  <c r="G3" i="1"/>
  <c r="F3" i="1"/>
  <c r="E3" i="1"/>
  <c r="I33" i="6" l="1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I28" i="6"/>
  <c r="H28" i="6"/>
  <c r="G28" i="6"/>
  <c r="F28" i="6"/>
  <c r="E28" i="6"/>
  <c r="I27" i="6"/>
  <c r="H27" i="6"/>
  <c r="G27" i="6"/>
  <c r="F27" i="6"/>
  <c r="E27" i="6"/>
  <c r="I25" i="6"/>
  <c r="H25" i="6"/>
  <c r="G25" i="6"/>
  <c r="F25" i="6"/>
  <c r="E25" i="6"/>
  <c r="I21" i="6"/>
  <c r="H21" i="6"/>
  <c r="G21" i="6"/>
  <c r="F21" i="6"/>
  <c r="E21" i="6"/>
  <c r="I20" i="6"/>
  <c r="H20" i="6"/>
  <c r="G20" i="6"/>
  <c r="F20" i="6"/>
  <c r="E20" i="6"/>
  <c r="I19" i="6"/>
  <c r="D35" i="6"/>
  <c r="D32" i="6"/>
  <c r="D30" i="6"/>
  <c r="D28" i="6"/>
  <c r="D27" i="6"/>
  <c r="D26" i="6"/>
  <c r="D25" i="6"/>
  <c r="D24" i="6"/>
  <c r="D23" i="6"/>
  <c r="D20" i="6"/>
  <c r="D19" i="6"/>
  <c r="D18" i="6"/>
  <c r="D17" i="6"/>
  <c r="D16" i="6"/>
  <c r="D15" i="6"/>
  <c r="D14" i="6"/>
  <c r="D13" i="6"/>
  <c r="D12" i="6"/>
  <c r="D10" i="6"/>
  <c r="D9" i="6"/>
  <c r="D8" i="6"/>
  <c r="D7" i="6"/>
  <c r="G46" i="2" l="1"/>
  <c r="G41" i="2"/>
  <c r="G45" i="6"/>
  <c r="G51" i="6"/>
  <c r="J43" i="6" l="1"/>
  <c r="J34" i="6"/>
  <c r="J22" i="6"/>
  <c r="E51" i="6" l="1"/>
  <c r="H98" i="3" l="1"/>
  <c r="G98" i="3"/>
  <c r="F98" i="3"/>
  <c r="I45" i="3"/>
  <c r="I48" i="3" s="1"/>
  <c r="H45" i="3"/>
  <c r="H48" i="3" s="1"/>
  <c r="G45" i="3"/>
  <c r="G48" i="3" s="1"/>
  <c r="F45" i="3"/>
  <c r="F48" i="3" s="1"/>
  <c r="E45" i="3"/>
  <c r="I36" i="3" l="1"/>
  <c r="E43" i="3"/>
  <c r="F49" i="3"/>
  <c r="F50" i="3" s="1"/>
  <c r="D94" i="3"/>
  <c r="E98" i="3"/>
  <c r="G43" i="3"/>
  <c r="G73" i="3"/>
  <c r="F10" i="3"/>
  <c r="H28" i="3"/>
  <c r="I28" i="3"/>
  <c r="F43" i="3"/>
  <c r="D98" i="3"/>
  <c r="E99" i="3" s="1"/>
  <c r="E88" i="3" s="1"/>
  <c r="F18" i="3"/>
  <c r="I18" i="3"/>
  <c r="G18" i="3"/>
  <c r="G28" i="3"/>
  <c r="H36" i="3"/>
  <c r="I49" i="3"/>
  <c r="I50" i="3" s="1"/>
  <c r="E63" i="3"/>
  <c r="H73" i="3"/>
  <c r="H18" i="3"/>
  <c r="E28" i="3"/>
  <c r="H43" i="3"/>
  <c r="E48" i="3"/>
  <c r="E49" i="3" s="1"/>
  <c r="E50" i="3" s="1"/>
  <c r="F63" i="3"/>
  <c r="I73" i="3"/>
  <c r="E10" i="3"/>
  <c r="F28" i="3"/>
  <c r="G63" i="3"/>
  <c r="I10" i="3"/>
  <c r="I19" i="3" s="1"/>
  <c r="I20" i="3" s="1"/>
  <c r="G36" i="3"/>
  <c r="H49" i="3"/>
  <c r="H50" i="3" s="1"/>
  <c r="H63" i="3"/>
  <c r="I63" i="3"/>
  <c r="G10" i="3"/>
  <c r="E18" i="3"/>
  <c r="E36" i="3"/>
  <c r="I43" i="3"/>
  <c r="E73" i="3"/>
  <c r="H10" i="3"/>
  <c r="F36" i="3"/>
  <c r="F73" i="3"/>
  <c r="G49" i="3"/>
  <c r="G50" i="3" s="1"/>
  <c r="I37" i="3" l="1"/>
  <c r="I38" i="3" s="1"/>
  <c r="E37" i="3"/>
  <c r="E38" i="3" s="1"/>
  <c r="F37" i="3"/>
  <c r="F38" i="3" s="1"/>
  <c r="H37" i="3"/>
  <c r="H38" i="3" s="1"/>
  <c r="G37" i="3"/>
  <c r="G38" i="3" s="1"/>
  <c r="H19" i="3"/>
  <c r="H20" i="3" s="1"/>
  <c r="E19" i="3"/>
  <c r="E20" i="3" s="1"/>
  <c r="F19" i="3"/>
  <c r="F20" i="3" s="1"/>
  <c r="G19" i="3"/>
  <c r="G20" i="3" s="1"/>
  <c r="F51" i="6"/>
  <c r="I39" i="3" l="1"/>
  <c r="I64" i="3" s="1"/>
  <c r="I79" i="3" s="1"/>
  <c r="I82" i="3" s="1"/>
  <c r="I87" i="3" s="1"/>
  <c r="F39" i="3"/>
  <c r="F64" i="3" s="1"/>
  <c r="F79" i="3" s="1"/>
  <c r="F82" i="3" s="1"/>
  <c r="F87" i="3" s="1"/>
  <c r="E39" i="3"/>
  <c r="E64" i="3" s="1"/>
  <c r="E79" i="3" s="1"/>
  <c r="E82" i="3" s="1"/>
  <c r="E87" i="3" s="1"/>
  <c r="E91" i="3" s="1"/>
  <c r="E101" i="3" s="1"/>
  <c r="H39" i="3"/>
  <c r="H64" i="3" s="1"/>
  <c r="H79" i="3" s="1"/>
  <c r="H82" i="3" s="1"/>
  <c r="H87" i="3" s="1"/>
  <c r="G39" i="3"/>
  <c r="G64" i="3" s="1"/>
  <c r="G79" i="3" s="1"/>
  <c r="G82" i="3" s="1"/>
  <c r="G87" i="3" s="1"/>
  <c r="J99" i="3"/>
  <c r="O98" i="3"/>
  <c r="E94" i="3" l="1"/>
  <c r="J17" i="7"/>
  <c r="F99" i="3" l="1"/>
  <c r="F88" i="3" s="1"/>
  <c r="F91" i="3" s="1"/>
  <c r="F101" i="3" s="1"/>
  <c r="I43" i="6"/>
  <c r="I15" i="7"/>
  <c r="H15" i="7" s="1"/>
  <c r="I16" i="7"/>
  <c r="I13" i="7"/>
  <c r="F94" i="3" l="1"/>
  <c r="G99" i="3" s="1"/>
  <c r="G88" i="3" s="1"/>
  <c r="G91" i="3" s="1"/>
  <c r="F16" i="7"/>
  <c r="F13" i="7"/>
  <c r="E13" i="7" s="1"/>
  <c r="F15" i="7"/>
  <c r="E15" i="7"/>
  <c r="H16" i="7"/>
  <c r="J13" i="7"/>
  <c r="H13" i="7"/>
  <c r="D45" i="6"/>
  <c r="D51" i="6"/>
  <c r="F46" i="2"/>
  <c r="F41" i="2"/>
  <c r="F45" i="6"/>
  <c r="G101" i="3" l="1"/>
  <c r="G94" i="3"/>
  <c r="H99" i="3"/>
  <c r="H88" i="3" s="1"/>
  <c r="H91" i="3" s="1"/>
  <c r="H101" i="3" s="1"/>
  <c r="G13" i="7"/>
  <c r="E45" i="6"/>
  <c r="E46" i="2"/>
  <c r="E41" i="2"/>
  <c r="O97" i="3"/>
  <c r="N97" i="3"/>
  <c r="M97" i="3"/>
  <c r="L97" i="3"/>
  <c r="K97" i="3"/>
  <c r="J97" i="3"/>
  <c r="O96" i="3"/>
  <c r="N96" i="3"/>
  <c r="M96" i="3"/>
  <c r="L96" i="3"/>
  <c r="K96" i="3"/>
  <c r="J96" i="3"/>
  <c r="O85" i="3"/>
  <c r="N85" i="3"/>
  <c r="M85" i="3"/>
  <c r="L85" i="3"/>
  <c r="K85" i="3"/>
  <c r="O84" i="3"/>
  <c r="N84" i="3"/>
  <c r="M84" i="3"/>
  <c r="L84" i="3"/>
  <c r="K84" i="3"/>
  <c r="O81" i="3"/>
  <c r="N81" i="3"/>
  <c r="M81" i="3"/>
  <c r="L81" i="3"/>
  <c r="K81" i="3"/>
  <c r="O78" i="3"/>
  <c r="N78" i="3"/>
  <c r="M78" i="3"/>
  <c r="L78" i="3"/>
  <c r="K78" i="3"/>
  <c r="O77" i="3"/>
  <c r="N77" i="3"/>
  <c r="M77" i="3"/>
  <c r="L77" i="3"/>
  <c r="O76" i="3"/>
  <c r="N76" i="3"/>
  <c r="M76" i="3"/>
  <c r="L76" i="3"/>
  <c r="K76" i="3"/>
  <c r="K75" i="3"/>
  <c r="O74" i="3"/>
  <c r="N74" i="3"/>
  <c r="M74" i="3"/>
  <c r="L74" i="3"/>
  <c r="K74" i="3"/>
  <c r="O47" i="3"/>
  <c r="N47" i="3"/>
  <c r="M47" i="3"/>
  <c r="L47" i="3"/>
  <c r="K47" i="3"/>
  <c r="O46" i="3"/>
  <c r="N46" i="3"/>
  <c r="M46" i="3"/>
  <c r="L46" i="3"/>
  <c r="K46" i="3"/>
  <c r="O44" i="3"/>
  <c r="N44" i="3"/>
  <c r="M44" i="3"/>
  <c r="L44" i="3"/>
  <c r="K44" i="3"/>
  <c r="O42" i="3"/>
  <c r="N42" i="3"/>
  <c r="M42" i="3"/>
  <c r="L42" i="3"/>
  <c r="K42" i="3"/>
  <c r="O41" i="3"/>
  <c r="N41" i="3"/>
  <c r="M41" i="3"/>
  <c r="L41" i="3"/>
  <c r="K41" i="3"/>
  <c r="O40" i="3"/>
  <c r="N40" i="3"/>
  <c r="M40" i="3"/>
  <c r="L40" i="3"/>
  <c r="K40" i="3"/>
  <c r="O72" i="3"/>
  <c r="N72" i="3"/>
  <c r="M72" i="3"/>
  <c r="L72" i="3"/>
  <c r="K72" i="3"/>
  <c r="K58" i="3"/>
  <c r="O35" i="3"/>
  <c r="N35" i="3"/>
  <c r="M35" i="3"/>
  <c r="L35" i="3"/>
  <c r="K35" i="3"/>
  <c r="O34" i="3"/>
  <c r="N34" i="3"/>
  <c r="M34" i="3"/>
  <c r="L34" i="3"/>
  <c r="K34" i="3"/>
  <c r="O33" i="3"/>
  <c r="N33" i="3"/>
  <c r="M33" i="3"/>
  <c r="L33" i="3"/>
  <c r="K33" i="3"/>
  <c r="O32" i="3"/>
  <c r="N32" i="3"/>
  <c r="M32" i="3"/>
  <c r="L32" i="3"/>
  <c r="K32" i="3"/>
  <c r="O31" i="3"/>
  <c r="N31" i="3"/>
  <c r="M31" i="3"/>
  <c r="L31" i="3"/>
  <c r="K31" i="3"/>
  <c r="O30" i="3"/>
  <c r="N30" i="3"/>
  <c r="M30" i="3"/>
  <c r="L30" i="3"/>
  <c r="K30" i="3"/>
  <c r="O29" i="3"/>
  <c r="N29" i="3"/>
  <c r="M29" i="3"/>
  <c r="L29" i="3"/>
  <c r="K29" i="3"/>
  <c r="O17" i="3"/>
  <c r="N17" i="3"/>
  <c r="M17" i="3"/>
  <c r="L17" i="3"/>
  <c r="K17" i="3"/>
  <c r="O16" i="3"/>
  <c r="N16" i="3"/>
  <c r="M16" i="3"/>
  <c r="L16" i="3"/>
  <c r="K16" i="3"/>
  <c r="O15" i="3"/>
  <c r="N15" i="3"/>
  <c r="M15" i="3"/>
  <c r="L15" i="3"/>
  <c r="K15" i="3"/>
  <c r="O14" i="3"/>
  <c r="N14" i="3"/>
  <c r="M14" i="3"/>
  <c r="L14" i="3"/>
  <c r="K14" i="3"/>
  <c r="O13" i="3"/>
  <c r="N13" i="3"/>
  <c r="M13" i="3"/>
  <c r="L13" i="3"/>
  <c r="K13" i="3"/>
  <c r="O12" i="3"/>
  <c r="N12" i="3"/>
  <c r="M12" i="3"/>
  <c r="L12" i="3"/>
  <c r="K12" i="3"/>
  <c r="O11" i="3"/>
  <c r="N11" i="3"/>
  <c r="M11" i="3"/>
  <c r="L11" i="3"/>
  <c r="K11" i="3"/>
  <c r="O27" i="3"/>
  <c r="N27" i="3"/>
  <c r="M27" i="3"/>
  <c r="L27" i="3"/>
  <c r="K27" i="3"/>
  <c r="O26" i="3"/>
  <c r="N26" i="3"/>
  <c r="M26" i="3"/>
  <c r="L26" i="3"/>
  <c r="K26" i="3"/>
  <c r="O25" i="3"/>
  <c r="N25" i="3"/>
  <c r="M25" i="3"/>
  <c r="L25" i="3"/>
  <c r="K25" i="3"/>
  <c r="O24" i="3"/>
  <c r="N24" i="3"/>
  <c r="M24" i="3"/>
  <c r="L24" i="3"/>
  <c r="K24" i="3"/>
  <c r="O23" i="3"/>
  <c r="N23" i="3"/>
  <c r="M23" i="3"/>
  <c r="L23" i="3"/>
  <c r="K23" i="3"/>
  <c r="O22" i="3"/>
  <c r="N22" i="3"/>
  <c r="M22" i="3"/>
  <c r="L22" i="3"/>
  <c r="K22" i="3"/>
  <c r="O21" i="3"/>
  <c r="N21" i="3"/>
  <c r="M21" i="3"/>
  <c r="L21" i="3"/>
  <c r="K21" i="3"/>
  <c r="O9" i="3"/>
  <c r="N9" i="3"/>
  <c r="M9" i="3"/>
  <c r="L9" i="3"/>
  <c r="K9" i="3"/>
  <c r="O8" i="3"/>
  <c r="N8" i="3"/>
  <c r="M8" i="3"/>
  <c r="L8" i="3"/>
  <c r="K8" i="3"/>
  <c r="O7" i="3"/>
  <c r="N7" i="3"/>
  <c r="M7" i="3"/>
  <c r="L7" i="3"/>
  <c r="K7" i="3"/>
  <c r="O6" i="3"/>
  <c r="N6" i="3"/>
  <c r="M6" i="3"/>
  <c r="L6" i="3"/>
  <c r="K6" i="3"/>
  <c r="O5" i="3"/>
  <c r="N5" i="3"/>
  <c r="M5" i="3"/>
  <c r="L5" i="3"/>
  <c r="K5" i="3"/>
  <c r="O4" i="3"/>
  <c r="N4" i="3"/>
  <c r="M4" i="3"/>
  <c r="L4" i="3"/>
  <c r="K4" i="3"/>
  <c r="O3" i="3"/>
  <c r="N3" i="3"/>
  <c r="M3" i="3"/>
  <c r="L3" i="3"/>
  <c r="K3" i="3"/>
  <c r="H94" i="3" l="1"/>
  <c r="I99" i="3" s="1"/>
  <c r="I88" i="3" s="1"/>
  <c r="I91" i="3" s="1"/>
  <c r="I101" i="3" s="1"/>
  <c r="B1" i="6"/>
  <c r="B1" i="7" s="1"/>
  <c r="B2" i="6"/>
  <c r="B2" i="7" s="1"/>
  <c r="F49" i="6"/>
  <c r="E49" i="6"/>
  <c r="D49" i="6"/>
  <c r="H43" i="6"/>
  <c r="G43" i="6"/>
  <c r="F43" i="6"/>
  <c r="E43" i="6"/>
  <c r="D43" i="6"/>
  <c r="I94" i="3" l="1"/>
  <c r="D22" i="6"/>
  <c r="D11" i="6"/>
  <c r="D34" i="6"/>
  <c r="D36" i="6" l="1"/>
  <c r="D44" i="6" l="1"/>
  <c r="D59" i="6" s="1"/>
  <c r="D50" i="6" l="1"/>
  <c r="A40" i="4" l="1"/>
  <c r="A34" i="4"/>
  <c r="A4" i="5" l="1"/>
  <c r="D28" i="4" l="1"/>
  <c r="E28" i="4"/>
  <c r="F28" i="4"/>
  <c r="G28" i="4"/>
  <c r="H28" i="4"/>
  <c r="A1" i="4" l="1"/>
  <c r="A1" i="5"/>
  <c r="H38" i="2" l="1"/>
  <c r="D38" i="2" l="1"/>
  <c r="E38" i="2"/>
  <c r="F38" i="2"/>
  <c r="G38" i="2"/>
  <c r="E28" i="1" l="1"/>
  <c r="F28" i="1"/>
  <c r="G28" i="1"/>
  <c r="H28" i="1"/>
  <c r="I28" i="1"/>
  <c r="O28" i="3" l="1"/>
  <c r="N28" i="3"/>
  <c r="K28" i="3"/>
  <c r="M28" i="3"/>
  <c r="L28" i="3"/>
  <c r="I36" i="1"/>
  <c r="H36" i="1"/>
  <c r="G36" i="1"/>
  <c r="F36" i="1"/>
  <c r="E36" i="1"/>
  <c r="M36" i="3" l="1"/>
  <c r="G37" i="1"/>
  <c r="K36" i="3"/>
  <c r="E37" i="1"/>
  <c r="L36" i="3"/>
  <c r="F37" i="1"/>
  <c r="N36" i="3"/>
  <c r="H37" i="1"/>
  <c r="O36" i="3"/>
  <c r="I37" i="1"/>
  <c r="H18" i="1"/>
  <c r="I18" i="1"/>
  <c r="E10" i="1"/>
  <c r="F10" i="1"/>
  <c r="H10" i="1"/>
  <c r="I10" i="1"/>
  <c r="G10" i="1"/>
  <c r="F18" i="1"/>
  <c r="G18" i="1"/>
  <c r="E18" i="1"/>
  <c r="I38" i="1" l="1"/>
  <c r="G38" i="1"/>
  <c r="K18" i="3"/>
  <c r="M18" i="3"/>
  <c r="E38" i="1"/>
  <c r="M10" i="3"/>
  <c r="O10" i="3"/>
  <c r="O18" i="3"/>
  <c r="N18" i="3"/>
  <c r="N10" i="3"/>
  <c r="L10" i="3"/>
  <c r="F38" i="1"/>
  <c r="L18" i="3"/>
  <c r="H38" i="1"/>
  <c r="K10" i="3"/>
  <c r="L37" i="3"/>
  <c r="M37" i="3"/>
  <c r="N37" i="3"/>
  <c r="K37" i="3"/>
  <c r="O37" i="3"/>
  <c r="E19" i="1"/>
  <c r="H19" i="1"/>
  <c r="I19" i="1"/>
  <c r="F19" i="1"/>
  <c r="G19" i="1"/>
  <c r="K38" i="3" l="1"/>
  <c r="L38" i="3"/>
  <c r="N38" i="3"/>
  <c r="O38" i="3"/>
  <c r="M38" i="3"/>
  <c r="I20" i="1"/>
  <c r="F20" i="1"/>
  <c r="H20" i="1"/>
  <c r="G20" i="1"/>
  <c r="E20" i="1"/>
  <c r="M19" i="3"/>
  <c r="L19" i="3"/>
  <c r="K19" i="3"/>
  <c r="O19" i="3"/>
  <c r="N19" i="3"/>
  <c r="L20" i="3" l="1"/>
  <c r="N20" i="3"/>
  <c r="K20" i="3"/>
  <c r="O20" i="3"/>
  <c r="M20" i="3"/>
  <c r="G39" i="1"/>
  <c r="H39" i="1"/>
  <c r="E39" i="1"/>
  <c r="I39" i="1"/>
  <c r="F39" i="1"/>
  <c r="N39" i="3" l="1"/>
  <c r="M39" i="3"/>
  <c r="O39" i="3"/>
  <c r="L39" i="3"/>
  <c r="K39" i="3"/>
  <c r="G3" i="2"/>
  <c r="I3" i="2"/>
  <c r="E3" i="2"/>
  <c r="F3" i="2"/>
  <c r="H3" i="2"/>
  <c r="D98" i="1" l="1"/>
  <c r="J98" i="3" l="1"/>
  <c r="F45" i="1"/>
  <c r="G45" i="1"/>
  <c r="I45" i="1"/>
  <c r="H45" i="1"/>
  <c r="O45" i="3" l="1"/>
  <c r="N45" i="3"/>
  <c r="L45" i="3"/>
  <c r="M45" i="3"/>
  <c r="F98" i="1"/>
  <c r="G98" i="1"/>
  <c r="H98" i="1"/>
  <c r="N98" i="3" l="1"/>
  <c r="M98" i="3"/>
  <c r="L98" i="3"/>
  <c r="E45" i="1"/>
  <c r="E98" i="1"/>
  <c r="K98" i="3" l="1"/>
  <c r="K45" i="3"/>
  <c r="E43" i="1"/>
  <c r="K43" i="3" l="1"/>
  <c r="E4" i="2"/>
  <c r="F43" i="1" l="1"/>
  <c r="L43" i="3" l="1"/>
  <c r="G43" i="1"/>
  <c r="F4" i="2"/>
  <c r="M43" i="3" l="1"/>
  <c r="H43" i="1"/>
  <c r="G4" i="2"/>
  <c r="N43" i="3" l="1"/>
  <c r="I43" i="1"/>
  <c r="H4" i="2"/>
  <c r="E48" i="1"/>
  <c r="O43" i="3" l="1"/>
  <c r="K48" i="3"/>
  <c r="E49" i="1"/>
  <c r="I4" i="2"/>
  <c r="K49" i="3" l="1"/>
  <c r="E50" i="1"/>
  <c r="K50" i="3" l="1"/>
  <c r="F48" i="1"/>
  <c r="E5" i="2"/>
  <c r="L48" i="3" l="1"/>
  <c r="F49" i="1"/>
  <c r="L49" i="3" l="1"/>
  <c r="G48" i="1"/>
  <c r="F50" i="1"/>
  <c r="L50" i="3" l="1"/>
  <c r="M48" i="3"/>
  <c r="F5" i="2"/>
  <c r="G49" i="1"/>
  <c r="M49" i="3" l="1"/>
  <c r="G50" i="1"/>
  <c r="H48" i="1"/>
  <c r="M50" i="3" l="1"/>
  <c r="N48" i="3"/>
  <c r="I48" i="1"/>
  <c r="H49" i="1"/>
  <c r="G5" i="2"/>
  <c r="N49" i="3" l="1"/>
  <c r="O48" i="3"/>
  <c r="H50" i="1"/>
  <c r="I49" i="1"/>
  <c r="O49" i="3" l="1"/>
  <c r="N50" i="3"/>
  <c r="I50" i="1"/>
  <c r="H5" i="2"/>
  <c r="O50" i="3" l="1"/>
  <c r="I5" i="2"/>
  <c r="M60" i="3" l="1"/>
  <c r="O60" i="3"/>
  <c r="L60" i="3"/>
  <c r="K60" i="3"/>
  <c r="N60" i="3"/>
  <c r="N62" i="3" l="1"/>
  <c r="M62" i="3"/>
  <c r="L62" i="3"/>
  <c r="K62" i="3"/>
  <c r="O62" i="3"/>
  <c r="O54" i="3" l="1"/>
  <c r="O59" i="3"/>
  <c r="O61" i="3"/>
  <c r="K61" i="3"/>
  <c r="L54" i="3"/>
  <c r="O57" i="3"/>
  <c r="L56" i="3"/>
  <c r="K56" i="3"/>
  <c r="M57" i="3"/>
  <c r="M54" i="3"/>
  <c r="L59" i="3"/>
  <c r="K57" i="3"/>
  <c r="N61" i="3"/>
  <c r="K54" i="3"/>
  <c r="K59" i="3"/>
  <c r="N58" i="3"/>
  <c r="O55" i="3"/>
  <c r="M59" i="3"/>
  <c r="O56" i="3"/>
  <c r="M55" i="3"/>
  <c r="M56" i="3"/>
  <c r="L57" i="3"/>
  <c r="N57" i="3"/>
  <c r="O58" i="3"/>
  <c r="N54" i="3"/>
  <c r="L55" i="3"/>
  <c r="M61" i="3"/>
  <c r="N55" i="3"/>
  <c r="L61" i="3"/>
  <c r="K55" i="3"/>
  <c r="N56" i="3"/>
  <c r="N59" i="3"/>
  <c r="M58" i="3"/>
  <c r="H20" i="4" l="1"/>
  <c r="N90" i="3"/>
  <c r="O90" i="3" l="1"/>
  <c r="I20" i="4"/>
  <c r="K89" i="3" l="1"/>
  <c r="L89" i="3" l="1"/>
  <c r="M89" i="3" l="1"/>
  <c r="L58" i="3" l="1"/>
  <c r="M90" i="3" l="1"/>
  <c r="G20" i="4"/>
  <c r="L90" i="3" l="1"/>
  <c r="F20" i="4"/>
  <c r="K53" i="3" l="1"/>
  <c r="L53" i="3" l="1"/>
  <c r="M53" i="3" l="1"/>
  <c r="N53" i="3" l="1"/>
  <c r="O53" i="3"/>
  <c r="O52" i="3" l="1"/>
  <c r="L52" i="3"/>
  <c r="N52" i="3"/>
  <c r="K52" i="3"/>
  <c r="M52" i="3"/>
  <c r="H18" i="2" l="1"/>
  <c r="H19" i="2" s="1"/>
  <c r="G18" i="2"/>
  <c r="G19" i="2" s="1"/>
  <c r="F18" i="2"/>
  <c r="F19" i="2" s="1"/>
  <c r="E18" i="2"/>
  <c r="E19" i="2" s="1"/>
  <c r="I18" i="2"/>
  <c r="I19" i="2" s="1"/>
  <c r="L51" i="3" l="1"/>
  <c r="F63" i="1"/>
  <c r="O51" i="3"/>
  <c r="I63" i="1"/>
  <c r="M51" i="3"/>
  <c r="G63" i="1"/>
  <c r="K51" i="3"/>
  <c r="E63" i="1"/>
  <c r="N51" i="3"/>
  <c r="H63" i="1"/>
  <c r="K63" i="3" l="1"/>
  <c r="E64" i="1"/>
  <c r="I64" i="1"/>
  <c r="O63" i="3"/>
  <c r="L63" i="3"/>
  <c r="F64" i="1"/>
  <c r="H64" i="1"/>
  <c r="N63" i="3"/>
  <c r="G64" i="1"/>
  <c r="M63" i="3"/>
  <c r="K64" i="3" l="1"/>
  <c r="L64" i="3"/>
  <c r="M64" i="3"/>
  <c r="N64" i="3"/>
  <c r="O64" i="3"/>
  <c r="G49" i="6" l="1"/>
  <c r="G10" i="6" l="1"/>
  <c r="H10" i="6"/>
  <c r="I10" i="6"/>
  <c r="J10" i="6" s="1"/>
  <c r="G12" i="6"/>
  <c r="H12" i="6"/>
  <c r="I12" i="6"/>
  <c r="G13" i="6"/>
  <c r="H13" i="6"/>
  <c r="G14" i="6"/>
  <c r="H14" i="6"/>
  <c r="I14" i="6"/>
  <c r="G16" i="6"/>
  <c r="I16" i="6"/>
  <c r="G17" i="6"/>
  <c r="H17" i="6"/>
  <c r="I17" i="6"/>
  <c r="G18" i="6"/>
  <c r="I10" i="7" s="1"/>
  <c r="H18" i="6"/>
  <c r="I18" i="6"/>
  <c r="H19" i="6"/>
  <c r="G23" i="6"/>
  <c r="H23" i="6"/>
  <c r="I23" i="6"/>
  <c r="G24" i="6"/>
  <c r="I12" i="7" s="1"/>
  <c r="J12" i="7" s="1"/>
  <c r="H24" i="6"/>
  <c r="I24" i="6"/>
  <c r="G26" i="6"/>
  <c r="I14" i="7" s="1"/>
  <c r="J14" i="7" s="1"/>
  <c r="H26" i="6"/>
  <c r="I26" i="6"/>
  <c r="E10" i="6"/>
  <c r="J10" i="7" l="1"/>
  <c r="H10" i="7"/>
  <c r="I34" i="6"/>
  <c r="H34" i="6"/>
  <c r="G34" i="6"/>
  <c r="I11" i="7"/>
  <c r="J11" i="7" s="1"/>
  <c r="H9" i="6"/>
  <c r="I9" i="6"/>
  <c r="G9" i="6"/>
  <c r="I8" i="7" s="1"/>
  <c r="H16" i="6"/>
  <c r="I13" i="6"/>
  <c r="J8" i="7" l="1"/>
  <c r="H8" i="7"/>
  <c r="F10" i="6" l="1"/>
  <c r="G15" i="6" l="1"/>
  <c r="I15" i="6"/>
  <c r="I22" i="6" s="1"/>
  <c r="H15" i="6"/>
  <c r="H22" i="6" s="1"/>
  <c r="E8" i="6" l="1"/>
  <c r="F8" i="6" l="1"/>
  <c r="F9" i="7" s="1"/>
  <c r="G8" i="6"/>
  <c r="I9" i="7" s="1"/>
  <c r="G9" i="7" l="1"/>
  <c r="E9" i="7"/>
  <c r="J9" i="7"/>
  <c r="H9" i="7"/>
  <c r="H8" i="6"/>
  <c r="I8" i="6"/>
  <c r="E26" i="6" l="1"/>
  <c r="E23" i="6"/>
  <c r="F23" i="6" l="1"/>
  <c r="F26" i="6"/>
  <c r="F14" i="7" s="1"/>
  <c r="E14" i="7" l="1"/>
  <c r="G14" i="7"/>
  <c r="H14" i="7"/>
  <c r="F11" i="7"/>
  <c r="H11" i="7"/>
  <c r="E11" i="7" l="1"/>
  <c r="G11" i="7"/>
  <c r="E24" i="6"/>
  <c r="E19" i="6"/>
  <c r="E17" i="6"/>
  <c r="E34" i="6" l="1"/>
  <c r="E13" i="6"/>
  <c r="E14" i="6"/>
  <c r="E18" i="6"/>
  <c r="E12" i="6"/>
  <c r="E15" i="6"/>
  <c r="E16" i="6"/>
  <c r="E22" i="6" l="1"/>
  <c r="E9" i="6"/>
  <c r="G19" i="6" l="1"/>
  <c r="G22" i="6" s="1"/>
  <c r="F17" i="6" l="1"/>
  <c r="F19" i="6"/>
  <c r="F12" i="6"/>
  <c r="F15" i="6"/>
  <c r="F14" i="6"/>
  <c r="F9" i="6"/>
  <c r="F8" i="7" s="1"/>
  <c r="F18" i="6"/>
  <c r="F10" i="7" s="1"/>
  <c r="F24" i="6"/>
  <c r="F13" i="6"/>
  <c r="F16" i="6"/>
  <c r="F22" i="6" l="1"/>
  <c r="G8" i="7"/>
  <c r="E8" i="7"/>
  <c r="G10" i="7"/>
  <c r="E10" i="7"/>
  <c r="F12" i="7"/>
  <c r="F34" i="6"/>
  <c r="H12" i="7"/>
  <c r="G12" i="7" l="1"/>
  <c r="E12" i="7"/>
  <c r="E35" i="6"/>
  <c r="E7" i="6" l="1"/>
  <c r="E11" i="6" s="1"/>
  <c r="E36" i="6" s="1"/>
  <c r="E54" i="6" l="1"/>
  <c r="E44" i="6"/>
  <c r="E50" i="6" l="1"/>
  <c r="F7" i="6" l="1"/>
  <c r="F11" i="6" s="1"/>
  <c r="G16" i="7" s="1"/>
  <c r="G7" i="6" l="1"/>
  <c r="G11" i="6" s="1"/>
  <c r="J16" i="7" s="1"/>
  <c r="H7" i="6" l="1"/>
  <c r="H11" i="6" s="1"/>
  <c r="I7" i="6" l="1"/>
  <c r="J7" i="6" l="1"/>
  <c r="J11" i="6" s="1"/>
  <c r="J36" i="6" s="1"/>
  <c r="I11" i="6"/>
  <c r="J44" i="6" l="1"/>
  <c r="J52" i="6" l="1"/>
  <c r="J53" i="6" l="1"/>
  <c r="F35" i="6" l="1"/>
  <c r="F36" i="6" s="1"/>
  <c r="F54" i="6" l="1"/>
  <c r="F44" i="6"/>
  <c r="F18" i="7" l="1"/>
  <c r="F50" i="6"/>
  <c r="G35" i="6" l="1"/>
  <c r="G36" i="6" s="1"/>
  <c r="G44" i="6" l="1"/>
  <c r="G54" i="6"/>
  <c r="I18" i="7" l="1"/>
  <c r="G50" i="6"/>
  <c r="H35" i="6" l="1"/>
  <c r="H36" i="6" s="1"/>
  <c r="H54" i="6" l="1"/>
  <c r="H44" i="6"/>
  <c r="H45" i="6" l="1"/>
  <c r="H49" i="6"/>
  <c r="H50" i="6" s="1"/>
  <c r="H51" i="6" s="1"/>
  <c r="I35" i="6"/>
  <c r="I36" i="6" s="1"/>
  <c r="I44" i="6" l="1"/>
  <c r="I54" i="6"/>
  <c r="J54" i="6"/>
  <c r="I45" i="6" l="1"/>
  <c r="I49" i="6" s="1"/>
  <c r="I50" i="6" s="1"/>
  <c r="I51" i="6" s="1"/>
  <c r="J45" i="6" l="1"/>
  <c r="J49" i="6" s="1"/>
  <c r="J50" i="6" s="1"/>
  <c r="J51" i="6" s="1"/>
  <c r="I71" i="1" l="1"/>
  <c r="F70" i="1"/>
  <c r="F65" i="1"/>
  <c r="G68" i="1"/>
  <c r="I69" i="1"/>
  <c r="H71" i="1"/>
  <c r="H69" i="1"/>
  <c r="F69" i="1"/>
  <c r="G71" i="1"/>
  <c r="F67" i="1"/>
  <c r="H70" i="1"/>
  <c r="I65" i="1"/>
  <c r="E66" i="1"/>
  <c r="I68" i="1"/>
  <c r="H65" i="1"/>
  <c r="E68" i="1"/>
  <c r="I66" i="1"/>
  <c r="E69" i="1"/>
  <c r="G70" i="1"/>
  <c r="I67" i="1"/>
  <c r="F71" i="1"/>
  <c r="E70" i="1"/>
  <c r="G65" i="1"/>
  <c r="H66" i="1"/>
  <c r="E67" i="1"/>
  <c r="E71" i="1"/>
  <c r="F66" i="1"/>
  <c r="H67" i="1"/>
  <c r="F68" i="1"/>
  <c r="G67" i="1"/>
  <c r="E65" i="1"/>
  <c r="H68" i="1"/>
  <c r="G69" i="1"/>
  <c r="I70" i="1"/>
  <c r="G66" i="1"/>
  <c r="M65" i="3" l="1"/>
  <c r="G73" i="1"/>
  <c r="L67" i="3"/>
  <c r="N68" i="3"/>
  <c r="O67" i="3"/>
  <c r="N69" i="3"/>
  <c r="K67" i="3"/>
  <c r="K66" i="3"/>
  <c r="L70" i="3"/>
  <c r="M66" i="3"/>
  <c r="N67" i="3"/>
  <c r="N65" i="3"/>
  <c r="H73" i="1"/>
  <c r="L66" i="3"/>
  <c r="O66" i="3"/>
  <c r="N70" i="3"/>
  <c r="M68" i="3"/>
  <c r="O71" i="3"/>
  <c r="K68" i="3"/>
  <c r="K70" i="3"/>
  <c r="O69" i="3"/>
  <c r="M69" i="3"/>
  <c r="M67" i="3"/>
  <c r="N66" i="3"/>
  <c r="K69" i="3"/>
  <c r="M71" i="3"/>
  <c r="L69" i="3"/>
  <c r="N71" i="3"/>
  <c r="O70" i="3"/>
  <c r="K71" i="3"/>
  <c r="I73" i="1"/>
  <c r="O65" i="3"/>
  <c r="F73" i="1"/>
  <c r="L65" i="3"/>
  <c r="E73" i="1"/>
  <c r="K65" i="3"/>
  <c r="L68" i="3"/>
  <c r="L71" i="3"/>
  <c r="M70" i="3"/>
  <c r="O68" i="3"/>
  <c r="K73" i="3" l="1"/>
  <c r="E20" i="2"/>
  <c r="M73" i="3"/>
  <c r="G20" i="2"/>
  <c r="F20" i="2"/>
  <c r="L73" i="3"/>
  <c r="O73" i="3"/>
  <c r="I20" i="2"/>
  <c r="N73" i="3"/>
  <c r="H20" i="2"/>
  <c r="D21" i="4" l="1"/>
  <c r="D91" i="1"/>
  <c r="D31" i="2"/>
  <c r="E30" i="2" l="1"/>
  <c r="E90" i="1"/>
  <c r="D33" i="2"/>
  <c r="D34" i="2" s="1"/>
  <c r="E39" i="2" s="1"/>
  <c r="E28" i="2" s="1"/>
  <c r="D93" i="1"/>
  <c r="J91" i="3"/>
  <c r="E77" i="1"/>
  <c r="D94" i="1" l="1"/>
  <c r="K77" i="3"/>
  <c r="E79" i="1"/>
  <c r="E99" i="1"/>
  <c r="J94" i="3"/>
  <c r="D52" i="6"/>
  <c r="D53" i="6" s="1"/>
  <c r="J93" i="3"/>
  <c r="D23" i="4"/>
  <c r="D24" i="4" s="1"/>
  <c r="E29" i="4" s="1"/>
  <c r="E18" i="4" s="1"/>
  <c r="E20" i="4"/>
  <c r="K90" i="3"/>
  <c r="E21" i="2" l="1"/>
  <c r="K79" i="3"/>
  <c r="E88" i="1"/>
  <c r="K99" i="3"/>
  <c r="K88" i="3" l="1"/>
  <c r="E33" i="2" l="1"/>
  <c r="E93" i="1"/>
  <c r="E52" i="6" l="1"/>
  <c r="K93" i="3"/>
  <c r="E23" i="4"/>
  <c r="E39" i="4" l="1"/>
  <c r="E53" i="6"/>
  <c r="C7" i="7" s="1"/>
  <c r="E55" i="6"/>
  <c r="B7" i="7" l="1"/>
  <c r="G18" i="7" s="1"/>
  <c r="D7" i="7"/>
  <c r="E18" i="7" s="1"/>
  <c r="E41" i="4"/>
  <c r="F40" i="4"/>
  <c r="F33" i="2" l="1"/>
  <c r="F93" i="1"/>
  <c r="F23" i="4" l="1"/>
  <c r="L93" i="3"/>
  <c r="F52" i="6"/>
  <c r="F53" i="6" l="1"/>
  <c r="F7" i="7" s="1"/>
  <c r="F55" i="6"/>
  <c r="F19" i="7"/>
  <c r="F39" i="4"/>
  <c r="F27" i="5" l="1"/>
  <c r="C7" i="5"/>
  <c r="C27" i="5"/>
  <c r="E9" i="5"/>
  <c r="E35" i="5"/>
  <c r="D11" i="5"/>
  <c r="F16" i="5"/>
  <c r="G28" i="5"/>
  <c r="B16" i="5"/>
  <c r="F24" i="5"/>
  <c r="C35" i="5"/>
  <c r="E33" i="5"/>
  <c r="B14" i="5"/>
  <c r="E18" i="5"/>
  <c r="B34" i="5"/>
  <c r="F33" i="5"/>
  <c r="D34" i="5"/>
  <c r="C26" i="5"/>
  <c r="H33" i="5"/>
  <c r="E15" i="5"/>
  <c r="C12" i="5"/>
  <c r="B17" i="5"/>
  <c r="B33" i="5"/>
  <c r="F30" i="5"/>
  <c r="C21" i="5"/>
  <c r="G32" i="5"/>
  <c r="G20" i="5"/>
  <c r="H7" i="5"/>
  <c r="D15" i="5"/>
  <c r="E31" i="5"/>
  <c r="D8" i="5"/>
  <c r="C14" i="5"/>
  <c r="H22" i="5"/>
  <c r="H30" i="5"/>
  <c r="H11" i="5"/>
  <c r="B37" i="5"/>
  <c r="D17" i="5"/>
  <c r="D10" i="5"/>
  <c r="F11" i="5"/>
  <c r="G31" i="5"/>
  <c r="B29" i="5"/>
  <c r="G33" i="5"/>
  <c r="D18" i="5"/>
  <c r="F23" i="5"/>
  <c r="G24" i="5"/>
  <c r="D23" i="5"/>
  <c r="F12" i="5"/>
  <c r="F8" i="5"/>
  <c r="H10" i="5"/>
  <c r="E27" i="5"/>
  <c r="H16" i="5"/>
  <c r="B7" i="5"/>
  <c r="F10" i="5"/>
  <c r="D14" i="5"/>
  <c r="E37" i="5"/>
  <c r="F13" i="5"/>
  <c r="B35" i="5"/>
  <c r="D21" i="5"/>
  <c r="C17" i="5"/>
  <c r="F9" i="5"/>
  <c r="H28" i="5"/>
  <c r="C9" i="5"/>
  <c r="B32" i="5"/>
  <c r="C25" i="5"/>
  <c r="B28" i="5"/>
  <c r="E30" i="5"/>
  <c r="E21" i="5"/>
  <c r="B21" i="5"/>
  <c r="G30" i="5"/>
  <c r="C10" i="5"/>
  <c r="H27" i="5"/>
  <c r="F19" i="5"/>
  <c r="C28" i="5"/>
  <c r="B31" i="5"/>
  <c r="D22" i="5"/>
  <c r="C33" i="5"/>
  <c r="E24" i="5"/>
  <c r="E7" i="5"/>
  <c r="G19" i="5"/>
  <c r="E34" i="5"/>
  <c r="B25" i="5"/>
  <c r="F31" i="5"/>
  <c r="B22" i="5"/>
  <c r="E16" i="5"/>
  <c r="H21" i="5"/>
  <c r="C15" i="5"/>
  <c r="G13" i="5"/>
  <c r="H6" i="5"/>
  <c r="E28" i="5"/>
  <c r="E6" i="5"/>
  <c r="D36" i="5"/>
  <c r="H24" i="5"/>
  <c r="F34" i="5"/>
  <c r="G7" i="5"/>
  <c r="B27" i="5"/>
  <c r="G14" i="5"/>
  <c r="D30" i="5"/>
  <c r="B23" i="5"/>
  <c r="D27" i="5"/>
  <c r="F6" i="5"/>
  <c r="F18" i="5"/>
  <c r="C22" i="5"/>
  <c r="C32" i="5"/>
  <c r="C30" i="5"/>
  <c r="G37" i="5"/>
  <c r="B20" i="5"/>
  <c r="C23" i="5"/>
  <c r="G9" i="5"/>
  <c r="B11" i="5"/>
  <c r="H8" i="5"/>
  <c r="D29" i="5"/>
  <c r="D9" i="5"/>
  <c r="D37" i="5"/>
  <c r="G35" i="5"/>
  <c r="E19" i="5"/>
  <c r="H29" i="5"/>
  <c r="B19" i="5"/>
  <c r="D24" i="5"/>
  <c r="G12" i="5"/>
  <c r="H9" i="5"/>
  <c r="B24" i="5"/>
  <c r="D20" i="5"/>
  <c r="C13" i="5"/>
  <c r="F25" i="5"/>
  <c r="G34" i="5"/>
  <c r="H19" i="5"/>
  <c r="D25" i="5"/>
  <c r="H37" i="5"/>
  <c r="E36" i="5"/>
  <c r="B9" i="5"/>
  <c r="F17" i="5"/>
  <c r="E17" i="5"/>
  <c r="H18" i="5"/>
  <c r="D7" i="5"/>
  <c r="E12" i="5"/>
  <c r="C16" i="5"/>
  <c r="F20" i="5"/>
  <c r="F29" i="5"/>
  <c r="D12" i="5"/>
  <c r="H36" i="5"/>
  <c r="D19" i="5"/>
  <c r="H26" i="5"/>
  <c r="E32" i="5"/>
  <c r="C6" i="5"/>
  <c r="E22" i="5"/>
  <c r="F26" i="5"/>
  <c r="C31" i="5"/>
  <c r="H25" i="5"/>
  <c r="H20" i="5"/>
  <c r="G27" i="5"/>
  <c r="E29" i="5"/>
  <c r="F32" i="5"/>
  <c r="G6" i="5"/>
  <c r="C37" i="5"/>
  <c r="D16" i="5"/>
  <c r="C34" i="5"/>
  <c r="C29" i="5"/>
  <c r="D35" i="5"/>
  <c r="G17" i="5"/>
  <c r="H34" i="5"/>
  <c r="E20" i="5"/>
  <c r="B18" i="5"/>
  <c r="H17" i="5"/>
  <c r="F22" i="5"/>
  <c r="F37" i="5"/>
  <c r="H12" i="5"/>
  <c r="B12" i="5"/>
  <c r="F15" i="5"/>
  <c r="H32" i="5"/>
  <c r="C24" i="5"/>
  <c r="H31" i="5"/>
  <c r="D26" i="5"/>
  <c r="E26" i="5"/>
  <c r="G10" i="5"/>
  <c r="B30" i="5"/>
  <c r="B15" i="5"/>
  <c r="D32" i="5"/>
  <c r="G22" i="5"/>
  <c r="G11" i="5"/>
  <c r="C11" i="5"/>
  <c r="D13" i="5"/>
  <c r="E8" i="5"/>
  <c r="G36" i="5"/>
  <c r="F36" i="5"/>
  <c r="F14" i="5"/>
  <c r="B10" i="5"/>
  <c r="B13" i="5"/>
  <c r="G8" i="5"/>
  <c r="E11" i="5"/>
  <c r="E25" i="5"/>
  <c r="E13" i="5"/>
  <c r="E10" i="5"/>
  <c r="H15" i="5"/>
  <c r="G26" i="5"/>
  <c r="C18" i="5"/>
  <c r="B8" i="5"/>
  <c r="F28" i="5"/>
  <c r="G15" i="5"/>
  <c r="B26" i="5"/>
  <c r="B36" i="5"/>
  <c r="G18" i="5"/>
  <c r="H35" i="5"/>
  <c r="G16" i="5"/>
  <c r="F7" i="5"/>
  <c r="E14" i="5"/>
  <c r="H13" i="5"/>
  <c r="F35" i="5"/>
  <c r="G25" i="5"/>
  <c r="E23" i="5"/>
  <c r="H23" i="5"/>
  <c r="D6" i="5"/>
  <c r="D28" i="5"/>
  <c r="F21" i="5"/>
  <c r="D33" i="5"/>
  <c r="H14" i="5"/>
  <c r="C36" i="5"/>
  <c r="C19" i="5"/>
  <c r="C20" i="5"/>
  <c r="G29" i="5"/>
  <c r="D31" i="5"/>
  <c r="C8" i="5"/>
  <c r="G23" i="5"/>
  <c r="G21" i="5"/>
  <c r="F41" i="4"/>
  <c r="G40" i="4"/>
  <c r="G19" i="7"/>
  <c r="E19" i="7"/>
  <c r="E7" i="7"/>
  <c r="J18" i="7" s="1"/>
  <c r="J19" i="7" s="1"/>
  <c r="G7" i="7"/>
  <c r="H18" i="7" s="1"/>
  <c r="H19" i="7" s="1"/>
  <c r="B6" i="5" l="1"/>
  <c r="E80" i="1"/>
  <c r="K80" i="3" l="1"/>
  <c r="E82" i="1"/>
  <c r="E87" i="1" l="1"/>
  <c r="E2" i="4"/>
  <c r="E11" i="4" s="1"/>
  <c r="E17" i="4" s="1"/>
  <c r="E21" i="4" s="1"/>
  <c r="K82" i="3"/>
  <c r="E22" i="2"/>
  <c r="E27" i="2" s="1"/>
  <c r="E31" i="2" s="1"/>
  <c r="E44" i="2" s="1"/>
  <c r="E42" i="2" l="1"/>
  <c r="E34" i="2"/>
  <c r="F39" i="2" s="1"/>
  <c r="F28" i="2" s="1"/>
  <c r="E33" i="4"/>
  <c r="E24" i="4"/>
  <c r="F29" i="4" s="1"/>
  <c r="F18" i="4" s="1"/>
  <c r="K87" i="3"/>
  <c r="E91" i="1"/>
  <c r="E58" i="6" l="1"/>
  <c r="E35" i="4"/>
  <c r="F34" i="4"/>
  <c r="K91" i="3"/>
  <c r="E94" i="1"/>
  <c r="E101" i="1"/>
  <c r="F75" i="1"/>
  <c r="L75" i="3" l="1"/>
  <c r="F79" i="1"/>
  <c r="K94" i="3"/>
  <c r="F99" i="1"/>
  <c r="L79" i="3" l="1"/>
  <c r="F21" i="2"/>
  <c r="L99" i="3"/>
  <c r="F88" i="1"/>
  <c r="L88" i="3" l="1"/>
  <c r="F80" i="1" l="1"/>
  <c r="L80" i="3" l="1"/>
  <c r="F82" i="1"/>
  <c r="F2" i="4" l="1"/>
  <c r="F11" i="4" s="1"/>
  <c r="F17" i="4" s="1"/>
  <c r="F21" i="4" s="1"/>
  <c r="L82" i="3"/>
  <c r="F87" i="1"/>
  <c r="F22" i="2"/>
  <c r="F27" i="2" s="1"/>
  <c r="F31" i="2" s="1"/>
  <c r="F44" i="2" s="1"/>
  <c r="F42" i="2" l="1"/>
  <c r="F34" i="2"/>
  <c r="G39" i="2" s="1"/>
  <c r="G28" i="2" s="1"/>
  <c r="L87" i="3"/>
  <c r="F91" i="1"/>
  <c r="F33" i="4"/>
  <c r="F24" i="4"/>
  <c r="G29" i="4" s="1"/>
  <c r="G18" i="4" s="1"/>
  <c r="F58" i="6" l="1"/>
  <c r="L91" i="3"/>
  <c r="F94" i="1"/>
  <c r="F101" i="1"/>
  <c r="G34" i="4"/>
  <c r="F35" i="4"/>
  <c r="G75" i="1"/>
  <c r="M75" i="3" l="1"/>
  <c r="G79" i="1"/>
  <c r="L94" i="3"/>
  <c r="G99" i="1"/>
  <c r="M99" i="3" l="1"/>
  <c r="G88" i="1"/>
  <c r="M79" i="3"/>
  <c r="G21" i="2"/>
  <c r="M88" i="3" l="1"/>
  <c r="G80" i="1" l="1"/>
  <c r="M80" i="3" l="1"/>
  <c r="G82" i="1"/>
  <c r="M82" i="3" l="1"/>
  <c r="G87" i="1"/>
  <c r="G22" i="2"/>
  <c r="G27" i="2" s="1"/>
  <c r="G31" i="2" s="1"/>
  <c r="G42" i="2" s="1"/>
  <c r="G2" i="4"/>
  <c r="G11" i="4" s="1"/>
  <c r="G17" i="4" s="1"/>
  <c r="G21" i="4" s="1"/>
  <c r="G33" i="4" s="1"/>
  <c r="G35" i="4" s="1"/>
  <c r="G33" i="2"/>
  <c r="G93" i="1"/>
  <c r="G34" i="2" l="1"/>
  <c r="H39" i="2" s="1"/>
  <c r="H28" i="2" s="1"/>
  <c r="M87" i="3"/>
  <c r="G91" i="1"/>
  <c r="G44" i="2"/>
  <c r="H19" i="4"/>
  <c r="H29" i="2"/>
  <c r="H89" i="1"/>
  <c r="G23" i="4"/>
  <c r="G52" i="6"/>
  <c r="M93" i="3"/>
  <c r="G94" i="1" l="1"/>
  <c r="G58" i="6"/>
  <c r="M91" i="3"/>
  <c r="G101" i="1"/>
  <c r="N89" i="3"/>
  <c r="G39" i="4"/>
  <c r="G41" i="4" s="1"/>
  <c r="G24" i="4"/>
  <c r="H29" i="4" s="1"/>
  <c r="H18" i="4" s="1"/>
  <c r="I19" i="7"/>
  <c r="G55" i="6"/>
  <c r="G53" i="6"/>
  <c r="H75" i="1"/>
  <c r="M94" i="3" l="1"/>
  <c r="H99" i="1"/>
  <c r="N75" i="3"/>
  <c r="H79" i="1"/>
  <c r="N99" i="3"/>
  <c r="H88" i="1"/>
  <c r="N79" i="3" l="1"/>
  <c r="H21" i="2"/>
  <c r="N88" i="3"/>
  <c r="H80" i="1" l="1"/>
  <c r="N80" i="3" l="1"/>
  <c r="H82" i="1"/>
  <c r="N82" i="3" l="1"/>
  <c r="H2" i="4"/>
  <c r="H11" i="4" s="1"/>
  <c r="H17" i="4" s="1"/>
  <c r="H21" i="4" s="1"/>
  <c r="H33" i="4" s="1"/>
  <c r="H35" i="4" s="1"/>
  <c r="H87" i="1"/>
  <c r="H22" i="2"/>
  <c r="H27" i="2" s="1"/>
  <c r="H31" i="2" s="1"/>
  <c r="H44" i="2" s="1"/>
  <c r="N87" i="3" l="1"/>
  <c r="H91" i="1"/>
  <c r="H93" i="1"/>
  <c r="H33" i="2"/>
  <c r="H58" i="6" l="1"/>
  <c r="N91" i="3"/>
  <c r="H101" i="1"/>
  <c r="I89" i="1"/>
  <c r="I19" i="4"/>
  <c r="I29" i="2"/>
  <c r="H41" i="2"/>
  <c r="H34" i="2"/>
  <c r="I39" i="2" s="1"/>
  <c r="I28" i="2" s="1"/>
  <c r="H52" i="6"/>
  <c r="N93" i="3"/>
  <c r="H23" i="4"/>
  <c r="H94" i="1"/>
  <c r="I75" i="1"/>
  <c r="O89" i="3" l="1"/>
  <c r="O75" i="3"/>
  <c r="I79" i="1"/>
  <c r="H55" i="6"/>
  <c r="H53" i="6"/>
  <c r="H42" i="2"/>
  <c r="N94" i="3"/>
  <c r="I99" i="1"/>
  <c r="H39" i="4"/>
  <c r="H41" i="4" s="1"/>
  <c r="H24" i="4"/>
  <c r="I29" i="4" s="1"/>
  <c r="I18" i="4" s="1"/>
  <c r="O79" i="3" l="1"/>
  <c r="I21" i="2"/>
  <c r="O99" i="3"/>
  <c r="I88" i="1"/>
  <c r="O88" i="3" l="1"/>
  <c r="I80" i="1" l="1"/>
  <c r="O80" i="3" l="1"/>
  <c r="I82" i="1"/>
  <c r="I87" i="1" l="1"/>
  <c r="O82" i="3"/>
  <c r="I2" i="4"/>
  <c r="I11" i="4" s="1"/>
  <c r="I17" i="4" s="1"/>
  <c r="I21" i="4" s="1"/>
  <c r="I33" i="4" s="1"/>
  <c r="I35" i="4" s="1"/>
  <c r="I22" i="2"/>
  <c r="I27" i="2" s="1"/>
  <c r="I31" i="2" s="1"/>
  <c r="I44" i="2" s="1"/>
  <c r="O87" i="3" l="1"/>
  <c r="I91" i="1"/>
  <c r="I33" i="2"/>
  <c r="I93" i="1"/>
  <c r="I58" i="6" l="1"/>
  <c r="O91" i="3"/>
  <c r="I101" i="1"/>
  <c r="I23" i="4"/>
  <c r="O93" i="3"/>
  <c r="I52" i="6"/>
  <c r="I94" i="1"/>
  <c r="I41" i="2"/>
  <c r="I42" i="2" s="1"/>
  <c r="I34" i="2"/>
  <c r="O94" i="3" l="1"/>
  <c r="I55" i="6"/>
  <c r="I53" i="6"/>
  <c r="J55" i="6"/>
  <c r="I39" i="4"/>
  <c r="I41" i="4" s="1"/>
  <c r="I24" i="4"/>
</calcChain>
</file>

<file path=xl/sharedStrings.xml><?xml version="1.0" encoding="utf-8"?>
<sst xmlns="http://schemas.openxmlformats.org/spreadsheetml/2006/main" count="971" uniqueCount="354">
  <si>
    <t>2022/23</t>
  </si>
  <si>
    <t>2023/24</t>
  </si>
  <si>
    <t>2024/25</t>
  </si>
  <si>
    <t>2025/26</t>
  </si>
  <si>
    <t>2026/27</t>
  </si>
  <si>
    <t>Fast money</t>
  </si>
  <si>
    <t>£m 20/21 prices</t>
  </si>
  <si>
    <t>FM</t>
  </si>
  <si>
    <t>Depreciation</t>
  </si>
  <si>
    <t>Post-vesting pre-RIIO depreciation</t>
  </si>
  <si>
    <t>RIIO-1 depreciation</t>
  </si>
  <si>
    <t>RIIO-2 depreciation</t>
  </si>
  <si>
    <t>Vanilla WACC</t>
  </si>
  <si>
    <t>annual real %</t>
  </si>
  <si>
    <t>Single year discount factor</t>
  </si>
  <si>
    <t>scalar</t>
  </si>
  <si>
    <t>Closing RAV</t>
  </si>
  <si>
    <t>Discounted closing RAV</t>
  </si>
  <si>
    <t>Opening RAV (after transfers)</t>
  </si>
  <si>
    <t>NPV-neutral RAV return base</t>
  </si>
  <si>
    <t>Return</t>
  </si>
  <si>
    <t>DPN</t>
  </si>
  <si>
    <t>RTN</t>
  </si>
  <si>
    <t>PT</t>
  </si>
  <si>
    <t>Licence Fee Payments</t>
  </si>
  <si>
    <t>LFt</t>
  </si>
  <si>
    <t>Prescribed Rates</t>
  </si>
  <si>
    <t>RBt</t>
  </si>
  <si>
    <t>Pass-through Transmission Connection Point Charges</t>
  </si>
  <si>
    <t>TBt</t>
  </si>
  <si>
    <t>Smart Meter Communication Licensee Costs</t>
  </si>
  <si>
    <t>SMCt</t>
  </si>
  <si>
    <t>Smart Meter Information Technology Costs</t>
  </si>
  <si>
    <t>SMITt</t>
  </si>
  <si>
    <t>Ring Fence Costs</t>
  </si>
  <si>
    <t>RFt</t>
  </si>
  <si>
    <t>Supplier of Last Resort Net Costs</t>
  </si>
  <si>
    <t>SLRt</t>
  </si>
  <si>
    <t>Valid Bad Debt Claims</t>
  </si>
  <si>
    <t>IBDAt</t>
  </si>
  <si>
    <t>Pension Scheme Established Deficit repair expenditure</t>
  </si>
  <si>
    <t>EDEt</t>
  </si>
  <si>
    <t>Failed Supplier Recovered Costs</t>
  </si>
  <si>
    <t>SRCt</t>
  </si>
  <si>
    <t>Shetland Variable Energy Costs (SSEH only)</t>
  </si>
  <si>
    <t>SECt</t>
  </si>
  <si>
    <t>Assistance for high-cost distributors adjustment (SSEH only)</t>
  </si>
  <si>
    <t>HBt</t>
  </si>
  <si>
    <t>Pass-through</t>
  </si>
  <si>
    <t>Base Revenue</t>
  </si>
  <si>
    <t>Return Adjustment (note: this row is not active. It will be linked to ReturnAdj for closeout)</t>
  </si>
  <si>
    <t>RTNA</t>
  </si>
  <si>
    <t>Equity issuance costs</t>
  </si>
  <si>
    <t>EIC</t>
  </si>
  <si>
    <t>Business plan incentive</t>
  </si>
  <si>
    <t>BPI</t>
  </si>
  <si>
    <t>Output delivery incentive</t>
  </si>
  <si>
    <t>ODI</t>
  </si>
  <si>
    <t>Other revenue allowances</t>
  </si>
  <si>
    <t>ORA</t>
  </si>
  <si>
    <t>Directly Remunerated Services</t>
  </si>
  <si>
    <t>DRS</t>
  </si>
  <si>
    <t>Calculated revenue (before tax)</t>
  </si>
  <si>
    <t>Tax allowance</t>
  </si>
  <si>
    <t>TAX</t>
  </si>
  <si>
    <t>Tax allowance adjustment</t>
  </si>
  <si>
    <t>TAXA</t>
  </si>
  <si>
    <t>Calculated revenue</t>
  </si>
  <si>
    <t>Real to nominal prices conversion factor (splice index for RIIO-2)</t>
  </si>
  <si>
    <t>Combined RPI-CPIH price index (financial year average) (aka Price Index term)</t>
  </si>
  <si>
    <t>2027/28</t>
  </si>
  <si>
    <t>£m nominal</t>
  </si>
  <si>
    <t>Rt x  PIt / PI2020/21</t>
  </si>
  <si>
    <t>Correction term</t>
  </si>
  <si>
    <t>Kt</t>
  </si>
  <si>
    <t>Forecasting penalty</t>
  </si>
  <si>
    <t>FPt</t>
  </si>
  <si>
    <t>Legacy Allowed Revenue</t>
  </si>
  <si>
    <t>LARt</t>
  </si>
  <si>
    <t>Allowed revenue</t>
  </si>
  <si>
    <t>ARt (part C)</t>
  </si>
  <si>
    <t>Recovered Revenue</t>
  </si>
  <si>
    <t>RRt</t>
  </si>
  <si>
    <t>Revenue under/(over) recovery</t>
  </si>
  <si>
    <t xml:space="preserve">Vanilla weighted average cost of capital </t>
  </si>
  <si>
    <t>WACCt</t>
  </si>
  <si>
    <t>Inflation (from year t to t+1)</t>
  </si>
  <si>
    <t>annual %</t>
  </si>
  <si>
    <t>PIt+1/PIt</t>
  </si>
  <si>
    <t>Nominal time value of money</t>
  </si>
  <si>
    <t>annual nominal %</t>
  </si>
  <si>
    <t>TVMt</t>
  </si>
  <si>
    <t>Correction Term</t>
  </si>
  <si>
    <t>2021/22</t>
  </si>
  <si>
    <t>2020/21</t>
  </si>
  <si>
    <t>Regulatory Year</t>
  </si>
  <si>
    <t>Allowed load related capex</t>
  </si>
  <si>
    <t>Allowed non-load related capex - asset replacement</t>
  </si>
  <si>
    <t>Allowed non-load related capex - other</t>
  </si>
  <si>
    <t>Allowed faults</t>
  </si>
  <si>
    <t>Allowed tree cutting</t>
  </si>
  <si>
    <t>Allowed 100% 'revenue pool' expenditure</t>
  </si>
  <si>
    <t>Allowed controllable opex</t>
  </si>
  <si>
    <t>Total RIIO-2 capitalisation rate allocation 1 allowances</t>
  </si>
  <si>
    <t>Total RIIO-2 capitalisation rate allocation 2 allowances</t>
  </si>
  <si>
    <t>Actual load related capex</t>
  </si>
  <si>
    <t>Actual non-load related capex - asset replacement</t>
  </si>
  <si>
    <t>Actual non-load related capex - other</t>
  </si>
  <si>
    <t>Actual faults</t>
  </si>
  <si>
    <t>Actual tree cutting</t>
  </si>
  <si>
    <t>Actual 100% ‘revenue pool’ expenditure</t>
  </si>
  <si>
    <t>Actual controllable opex</t>
  </si>
  <si>
    <t>Total actual expenditure in capitalisation rate allocation 1</t>
  </si>
  <si>
    <t>Total actual expenditure in capitalisation rate allocation 2</t>
  </si>
  <si>
    <t>Fast Pot Allocation 1</t>
  </si>
  <si>
    <t>Post-TIM totex Allocation 1</t>
  </si>
  <si>
    <t>Post-TIM totex Allocation 2</t>
  </si>
  <si>
    <t>Fast Pot Allocation 2</t>
  </si>
  <si>
    <t>ALC</t>
  </si>
  <si>
    <t>ANCA</t>
  </si>
  <si>
    <t>ANCO</t>
  </si>
  <si>
    <t>AFA</t>
  </si>
  <si>
    <t>ATC</t>
  </si>
  <si>
    <t>ARP</t>
  </si>
  <si>
    <t>ACO</t>
  </si>
  <si>
    <t>ALCU</t>
  </si>
  <si>
    <t>ANCAU</t>
  </si>
  <si>
    <t>ANCOU</t>
  </si>
  <si>
    <t>AFAU</t>
  </si>
  <si>
    <t>ATCU</t>
  </si>
  <si>
    <t>ARPU</t>
  </si>
  <si>
    <t>ACOU</t>
  </si>
  <si>
    <t>Check</t>
  </si>
  <si>
    <t>Time to connect ODI</t>
  </si>
  <si>
    <t>TTCt</t>
  </si>
  <si>
    <t>Broad Measure of Customer Service ODI</t>
  </si>
  <si>
    <t>BMCSt</t>
  </si>
  <si>
    <t>Interruptions incentive scheme ODI</t>
  </si>
  <si>
    <t>IQt</t>
  </si>
  <si>
    <t>Major connections ODI</t>
  </si>
  <si>
    <t>MCt</t>
  </si>
  <si>
    <t>Consumer Vulnerability ODI</t>
  </si>
  <si>
    <t>CVIt</t>
  </si>
  <si>
    <t>Distribution System Operator ODI</t>
  </si>
  <si>
    <t>DSOIt</t>
  </si>
  <si>
    <t>Dig, Fix and Go ODI (ENWL only)</t>
  </si>
  <si>
    <t>DFGt</t>
  </si>
  <si>
    <t>Collaborative Streetworks ODI (EPN, LPN and SPN only)</t>
  </si>
  <si>
    <t>CSWt</t>
  </si>
  <si>
    <t>EDCM Revenue</t>
  </si>
  <si>
    <t>CDCM Revenue</t>
  </si>
  <si>
    <t>Comments</t>
  </si>
  <si>
    <t>Delta from Previous Submission</t>
  </si>
  <si>
    <t>Table for April (Current Calendar Year) +2</t>
  </si>
  <si>
    <t>In 2023 produce prices for April 25</t>
  </si>
  <si>
    <t>Current Calendar Year</t>
  </si>
  <si>
    <t>Red/black unit charge
p/kWh</t>
  </si>
  <si>
    <t>Amber/yellow unit charge
p/kWh</t>
  </si>
  <si>
    <t>Green unit charge
p/kWh</t>
  </si>
  <si>
    <t>Fixed charge p/MPAN/day</t>
  </si>
  <si>
    <t>Capacity charge p/kVA/day</t>
  </si>
  <si>
    <t>Exceeded capacity charge
p/kVA/day</t>
  </si>
  <si>
    <t>Reactive power charge
p/kVArh</t>
  </si>
  <si>
    <t>Tariff name</t>
  </si>
  <si>
    <t>Domestic Aggregated (Related MPAN)</t>
  </si>
  <si>
    <t>LV Site Specific No Residual</t>
  </si>
  <si>
    <t>LV Site Specific Band 1</t>
  </si>
  <si>
    <t>LV Site Specific Band 2</t>
  </si>
  <si>
    <t>LV Site Specific Band 3</t>
  </si>
  <si>
    <t>LV Site Specific Band 4</t>
  </si>
  <si>
    <t>LV Sub Site Specific No Residual</t>
  </si>
  <si>
    <t>LV Sub Site Specific Band 1</t>
  </si>
  <si>
    <t>LV Sub Site Specific Band 2</t>
  </si>
  <si>
    <t>LV Sub Site Specific Band 3</t>
  </si>
  <si>
    <t>LV Sub Site Specific Band 4</t>
  </si>
  <si>
    <t>HV Site Specific No Residual</t>
  </si>
  <si>
    <t>HV Site Specific Band 1</t>
  </si>
  <si>
    <t>HV Site Specific Band 2</t>
  </si>
  <si>
    <t>HV Site Specific Band 3</t>
  </si>
  <si>
    <t>HV Site Specific Band 4</t>
  </si>
  <si>
    <t>Unmetered Supplies</t>
  </si>
  <si>
    <t>LV Generation Aggregated</t>
  </si>
  <si>
    <t>LV Sub Generation Aggregated</t>
  </si>
  <si>
    <t>LV Generation Site Specific</t>
  </si>
  <si>
    <t>LV Generation Site Specific no RP charge</t>
  </si>
  <si>
    <t>LV Sub Generation Site Specific</t>
  </si>
  <si>
    <t>LV Sub Generation Site Specific no RP charge</t>
  </si>
  <si>
    <t>HV Generation Site Specific</t>
  </si>
  <si>
    <t>HV Generation Site Specific no RP charge</t>
  </si>
  <si>
    <t>e.g.</t>
  </si>
  <si>
    <t>Description</t>
  </si>
  <si>
    <t>Amount</t>
  </si>
  <si>
    <t>Possible Changes To Calculated Revenue</t>
  </si>
  <si>
    <t>Post Changes To Calculated Revenue</t>
  </si>
  <si>
    <t>Allowed Revenue Used In CDCM Model</t>
  </si>
  <si>
    <t>Inflation Parameters</t>
  </si>
  <si>
    <t>% Change</t>
  </si>
  <si>
    <t>Recovered Revenue Parameters</t>
  </si>
  <si>
    <t>New Recovered Revenue</t>
  </si>
  <si>
    <t>New Allowed Revenue</t>
  </si>
  <si>
    <t>Company Name:</t>
  </si>
  <si>
    <t>Date:</t>
  </si>
  <si>
    <r>
      <rPr>
        <b/>
        <sz val="12"/>
        <rFont val="Times New Roman"/>
        <family val="1"/>
      </rPr>
      <t>Title:                                                           DCUSA Schedule 15 - Table 1 information</t>
    </r>
  </si>
  <si>
    <r>
      <rPr>
        <b/>
        <sz val="12"/>
        <rFont val="Times New Roman"/>
        <family val="1"/>
      </rPr>
      <t>Description</t>
    </r>
  </si>
  <si>
    <r>
      <rPr>
        <b/>
        <sz val="12"/>
        <rFont val="Times New Roman"/>
        <family val="1"/>
      </rPr>
      <t>Licence Term</t>
    </r>
  </si>
  <si>
    <r>
      <rPr>
        <b/>
        <sz val="12"/>
        <rFont val="Times New Roman"/>
        <family val="1"/>
      </rPr>
      <t>CRC</t>
    </r>
  </si>
  <si>
    <r>
      <rPr>
        <sz val="12"/>
        <rFont val="Times New Roman"/>
        <family val="1"/>
      </rPr>
      <t>Assumptions</t>
    </r>
  </si>
  <si>
    <r>
      <rPr>
        <b/>
        <sz val="12"/>
        <rFont val="Times New Roman"/>
        <family val="1"/>
      </rPr>
      <t>Regulatory Year</t>
    </r>
  </si>
  <si>
    <r>
      <rPr>
        <b/>
        <sz val="12"/>
        <rFont val="Times New Roman"/>
        <family val="1"/>
      </rPr>
      <t>t-1</t>
    </r>
  </si>
  <si>
    <r>
      <rPr>
        <b/>
        <sz val="12"/>
        <rFont val="Times New Roman"/>
        <family val="1"/>
      </rPr>
      <t>t</t>
    </r>
  </si>
  <si>
    <t>t+1</t>
  </si>
  <si>
    <r>
      <rPr>
        <b/>
        <sz val="12"/>
        <rFont val="Times New Roman"/>
        <family val="1"/>
      </rPr>
      <t>t+2</t>
    </r>
  </si>
  <si>
    <r>
      <rPr>
        <b/>
        <sz val="12"/>
        <rFont val="Times New Roman"/>
        <family val="1"/>
      </rPr>
      <t>t+3</t>
    </r>
  </si>
  <si>
    <t>t+4</t>
  </si>
  <si>
    <r>
      <rPr>
        <sz val="12"/>
        <rFont val="Times New Roman"/>
        <family val="1"/>
      </rPr>
      <t>Base Demand Revenue before inflation (A1)</t>
    </r>
  </si>
  <si>
    <r>
      <rPr>
        <sz val="12"/>
        <rFont val="Times New Roman"/>
        <family val="1"/>
      </rPr>
      <t>PU</t>
    </r>
  </si>
  <si>
    <r>
      <rPr>
        <sz val="12"/>
        <rFont val="Times New Roman"/>
        <family val="1"/>
      </rPr>
      <t>CRC2A</t>
    </r>
  </si>
  <si>
    <t>Using the ED1 agreed base revenue in 12/13 prices and the ED2 draft base revenue in 202/21 prices</t>
  </si>
  <si>
    <r>
      <rPr>
        <sz val="12"/>
        <rFont val="Times New Roman"/>
        <family val="1"/>
      </rPr>
      <t>Annual Iteration adjustment before inflation (A2)</t>
    </r>
  </si>
  <si>
    <r>
      <rPr>
        <sz val="12"/>
        <rFont val="Times New Roman"/>
        <family val="1"/>
      </rPr>
      <t>MOD</t>
    </r>
  </si>
  <si>
    <t>Actual MOD for 2021/22 and forecast after</t>
  </si>
  <si>
    <r>
      <rPr>
        <sz val="12"/>
        <rFont val="Times New Roman"/>
        <family val="1"/>
      </rPr>
      <t>RPI True-up before inflation (A3)</t>
    </r>
  </si>
  <si>
    <r>
      <rPr>
        <sz val="12"/>
        <rFont val="Times New Roman"/>
        <family val="1"/>
      </rPr>
      <t>TRU</t>
    </r>
  </si>
  <si>
    <t>Actual RPI for 2020/21 and forecast after</t>
  </si>
  <si>
    <r>
      <rPr>
        <sz val="12"/>
        <rFont val="Times New Roman"/>
        <family val="1"/>
      </rPr>
      <t>Price index adjustment (A4)</t>
    </r>
  </si>
  <si>
    <r>
      <rPr>
        <sz val="12"/>
        <rFont val="Times New Roman"/>
        <family val="1"/>
      </rPr>
      <t>RPIF</t>
    </r>
  </si>
  <si>
    <t>Using HM Treasury report. 23/24 uses 20/21 as a base with a hybrid of RPI and CPI</t>
  </si>
  <si>
    <r>
      <rPr>
        <b/>
        <sz val="12"/>
        <rFont val="Times New Roman"/>
        <family val="1"/>
      </rPr>
      <t>Base demand revenue (A): [A = (A1 + A2 + A3) * A4]</t>
    </r>
  </si>
  <si>
    <r>
      <rPr>
        <b/>
        <sz val="12"/>
        <rFont val="Times New Roman"/>
        <family val="1"/>
      </rPr>
      <t>BR</t>
    </r>
  </si>
  <si>
    <r>
      <rPr>
        <b/>
        <sz val="12"/>
        <rFont val="Times New Roman"/>
        <family val="1"/>
      </rPr>
      <t>CRC2A</t>
    </r>
  </si>
  <si>
    <r>
      <rPr>
        <sz val="12"/>
        <rFont val="Times New Roman"/>
        <family val="1"/>
      </rPr>
      <t>A = (A1 + A2 + A3) * A4</t>
    </r>
  </si>
  <si>
    <r>
      <rPr>
        <sz val="12"/>
        <rFont val="Times New Roman"/>
        <family val="1"/>
      </rPr>
      <t>Pass-Through Licence Fees (B1)</t>
    </r>
  </si>
  <si>
    <r>
      <rPr>
        <sz val="12"/>
        <rFont val="Times New Roman"/>
        <family val="1"/>
      </rPr>
      <t>LF</t>
    </r>
  </si>
  <si>
    <r>
      <rPr>
        <sz val="12"/>
        <rFont val="Times New Roman"/>
        <family val="1"/>
      </rPr>
      <t>CRC2B</t>
    </r>
  </si>
  <si>
    <t>Actuals for 2020/21 and forecast after (2 year lag)</t>
  </si>
  <si>
    <r>
      <rPr>
        <sz val="12"/>
        <rFont val="Times New Roman"/>
        <family val="1"/>
      </rPr>
      <t>Pass-Through Business Rates (B2)</t>
    </r>
  </si>
  <si>
    <r>
      <rPr>
        <sz val="12"/>
        <rFont val="Times New Roman"/>
        <family val="1"/>
      </rPr>
      <t>RB</t>
    </r>
  </si>
  <si>
    <t>Pass-Through Transmission Connection Point Charges (B3)</t>
  </si>
  <si>
    <r>
      <rPr>
        <sz val="12"/>
        <rFont val="Times New Roman"/>
        <family val="1"/>
      </rPr>
      <t>TB</t>
    </r>
  </si>
  <si>
    <r>
      <rPr>
        <sz val="12"/>
        <rFont val="Times New Roman"/>
        <family val="1"/>
      </rPr>
      <t>Pass-through Smart Meter Communication Licence Costs (B4)</t>
    </r>
  </si>
  <si>
    <r>
      <rPr>
        <sz val="12"/>
        <rFont val="Times New Roman"/>
        <family val="1"/>
      </rPr>
      <t>SMC</t>
    </r>
  </si>
  <si>
    <r>
      <rPr>
        <sz val="12"/>
        <rFont val="Times New Roman"/>
        <family val="1"/>
      </rPr>
      <t>Pass-through Smart Meter IT Costs (B5)</t>
    </r>
  </si>
  <si>
    <r>
      <rPr>
        <sz val="12"/>
        <rFont val="Times New Roman"/>
        <family val="1"/>
      </rPr>
      <t>SMIT</t>
    </r>
  </si>
  <si>
    <r>
      <rPr>
        <sz val="12"/>
        <rFont val="Times New Roman"/>
        <family val="1"/>
      </rPr>
      <t>Pass-through Ring Fence Costs (B6)</t>
    </r>
  </si>
  <si>
    <r>
      <rPr>
        <sz val="12"/>
        <rFont val="Times New Roman"/>
        <family val="1"/>
      </rPr>
      <t>RF</t>
    </r>
  </si>
  <si>
    <t>Pass-through Supplier of Last Resort Adjustment (B7)</t>
  </si>
  <si>
    <t>SLR</t>
  </si>
  <si>
    <t>Pass-through Eligible Bad Debt Adjustment (B8)</t>
  </si>
  <si>
    <t>EBD</t>
  </si>
  <si>
    <t>Ofgem Direction.</t>
  </si>
  <si>
    <t>Pass-through COVID-19 Bad Debt Adjustment (B9)</t>
  </si>
  <si>
    <t>CBD</t>
  </si>
  <si>
    <t>Pass-Through Others (B9)</t>
  </si>
  <si>
    <r>
      <rPr>
        <sz val="12"/>
        <rFont val="Times New Roman"/>
        <family val="1"/>
      </rPr>
      <t>HB</t>
    </r>
    <r>
      <rPr>
        <sz val="8"/>
        <rFont val="Times New Roman"/>
        <family val="1"/>
      </rPr>
      <t xml:space="preserve">, </t>
    </r>
    <r>
      <rPr>
        <sz val="12"/>
        <rFont val="Times New Roman"/>
        <family val="1"/>
      </rPr>
      <t>SEC, UNC</t>
    </r>
  </si>
  <si>
    <t>Allowed Pass-Through Items (B): [B = B1 + B2 + B3 + B4 + B5 + B6 + B7 + B8 + B9]</t>
  </si>
  <si>
    <r>
      <rPr>
        <b/>
        <sz val="12"/>
        <rFont val="Times New Roman"/>
        <family val="1"/>
      </rPr>
      <t>PT</t>
    </r>
  </si>
  <si>
    <r>
      <rPr>
        <b/>
        <sz val="12"/>
        <rFont val="Times New Roman"/>
        <family val="1"/>
      </rPr>
      <t>CRC2B</t>
    </r>
  </si>
  <si>
    <r>
      <rPr>
        <sz val="12"/>
        <rFont val="Times New Roman"/>
        <family val="1"/>
      </rPr>
      <t xml:space="preserve">B = B1 + B2
</t>
    </r>
    <r>
      <rPr>
        <sz val="12"/>
        <rFont val="Times New Roman"/>
        <family val="1"/>
      </rPr>
      <t>+ B3 + B4 + B5 + B6 + B7</t>
    </r>
  </si>
  <si>
    <r>
      <rPr>
        <sz val="12"/>
        <rFont val="Times New Roman"/>
        <family val="1"/>
      </rPr>
      <t>Broad Measure of Customer Service incentive (C1)</t>
    </r>
  </si>
  <si>
    <r>
      <rPr>
        <sz val="12"/>
        <rFont val="Times New Roman"/>
        <family val="1"/>
      </rPr>
      <t>BM</t>
    </r>
  </si>
  <si>
    <r>
      <rPr>
        <sz val="12"/>
        <rFont val="Times New Roman"/>
        <family val="1"/>
      </rPr>
      <t>CRC2C</t>
    </r>
  </si>
  <si>
    <r>
      <rPr>
        <sz val="12"/>
        <rFont val="Times New Roman"/>
        <family val="1"/>
      </rPr>
      <t>Quality of Service incentive (C2)</t>
    </r>
  </si>
  <si>
    <r>
      <rPr>
        <sz val="12"/>
        <rFont val="Times New Roman"/>
        <family val="1"/>
      </rPr>
      <t>IQ</t>
    </r>
  </si>
  <si>
    <r>
      <rPr>
        <sz val="12"/>
        <rFont val="Times New Roman"/>
        <family val="1"/>
      </rPr>
      <t>CRC2D</t>
    </r>
  </si>
  <si>
    <r>
      <rPr>
        <sz val="12"/>
        <rFont val="Times New Roman"/>
        <family val="1"/>
      </rPr>
      <t>Connections Engagement incentive (C3)</t>
    </r>
  </si>
  <si>
    <r>
      <rPr>
        <sz val="12"/>
        <rFont val="Times New Roman"/>
        <family val="1"/>
      </rPr>
      <t>ICE</t>
    </r>
  </si>
  <si>
    <r>
      <rPr>
        <sz val="12"/>
        <rFont val="Times New Roman"/>
        <family val="1"/>
      </rPr>
      <t>CRC2E</t>
    </r>
  </si>
  <si>
    <t>Zero forecast</t>
  </si>
  <si>
    <r>
      <rPr>
        <sz val="12"/>
        <rFont val="Times New Roman"/>
        <family val="1"/>
      </rPr>
      <t>Time to Connect incentive (C4)</t>
    </r>
  </si>
  <si>
    <r>
      <rPr>
        <sz val="12"/>
        <rFont val="Times New Roman"/>
        <family val="1"/>
      </rPr>
      <t>TTC</t>
    </r>
  </si>
  <si>
    <r>
      <rPr>
        <sz val="12"/>
        <rFont val="Times New Roman"/>
        <family val="1"/>
      </rPr>
      <t>CRC2F</t>
    </r>
  </si>
  <si>
    <r>
      <rPr>
        <sz val="12"/>
        <rFont val="Times New Roman"/>
        <family val="1"/>
      </rPr>
      <t>Losses Discretionary Reward incentive (C5)</t>
    </r>
  </si>
  <si>
    <r>
      <rPr>
        <sz val="12"/>
        <rFont val="Times New Roman"/>
        <family val="1"/>
      </rPr>
      <t>LDR</t>
    </r>
  </si>
  <si>
    <r>
      <rPr>
        <sz val="12"/>
        <rFont val="Times New Roman"/>
        <family val="1"/>
      </rPr>
      <t>CRC2G</t>
    </r>
  </si>
  <si>
    <r>
      <rPr>
        <sz val="12"/>
        <rFont val="Times New Roman"/>
        <family val="1"/>
      </rPr>
      <t>Network Innovation Allowance (C6)</t>
    </r>
  </si>
  <si>
    <r>
      <rPr>
        <sz val="12"/>
        <rFont val="Times New Roman"/>
        <family val="1"/>
      </rPr>
      <t>NIA</t>
    </r>
  </si>
  <si>
    <r>
      <rPr>
        <sz val="12"/>
        <rFont val="Times New Roman"/>
        <family val="1"/>
      </rPr>
      <t>CRC2H</t>
    </r>
  </si>
  <si>
    <r>
      <rPr>
        <sz val="12"/>
        <rFont val="Times New Roman"/>
        <family val="1"/>
      </rPr>
      <t>Low Carbon Networks Fund (C7)</t>
    </r>
  </si>
  <si>
    <r>
      <rPr>
        <sz val="12"/>
        <rFont val="Times New Roman"/>
        <family val="1"/>
      </rPr>
      <t>LCN1</t>
    </r>
  </si>
  <si>
    <r>
      <rPr>
        <sz val="12"/>
        <rFont val="Times New Roman"/>
        <family val="1"/>
      </rPr>
      <t>CRC2J</t>
    </r>
  </si>
  <si>
    <r>
      <rPr>
        <sz val="12"/>
        <rFont val="Times New Roman"/>
        <family val="1"/>
      </rPr>
      <t>LCN2</t>
    </r>
  </si>
  <si>
    <t>Ofgem Direction for 21/22 and zero after.</t>
  </si>
  <si>
    <r>
      <rPr>
        <sz val="12"/>
        <rFont val="Times New Roman"/>
        <family val="1"/>
      </rPr>
      <t>Connection Guaranteed Standards Systems &amp; Processes penalty (C8)</t>
    </r>
  </si>
  <si>
    <r>
      <rPr>
        <sz val="12"/>
        <rFont val="Times New Roman"/>
        <family val="1"/>
      </rPr>
      <t>AUM, CGSRA</t>
    </r>
  </si>
  <si>
    <r>
      <rPr>
        <sz val="12"/>
        <rFont val="Times New Roman"/>
        <family val="1"/>
      </rPr>
      <t>CRC2K- L</t>
    </r>
  </si>
  <si>
    <r>
      <rPr>
        <sz val="12"/>
        <rFont val="Times New Roman"/>
        <family val="1"/>
      </rPr>
      <t>Residual Losses and Growth incentive (C9)</t>
    </r>
  </si>
  <si>
    <r>
      <rPr>
        <sz val="12"/>
        <rFont val="Times New Roman"/>
        <family val="1"/>
      </rPr>
      <t>PPL</t>
    </r>
  </si>
  <si>
    <r>
      <rPr>
        <sz val="12"/>
        <rFont val="Times New Roman"/>
        <family val="1"/>
      </rPr>
      <t>CRC2M</t>
    </r>
  </si>
  <si>
    <r>
      <rPr>
        <sz val="12"/>
        <rFont val="Times New Roman"/>
        <family val="1"/>
      </rPr>
      <t>GTA</t>
    </r>
  </si>
  <si>
    <r>
      <rPr>
        <b/>
        <sz val="12"/>
        <rFont val="Times New Roman"/>
        <family val="1"/>
      </rPr>
      <t xml:space="preserve">Incentive Revenue and Other Adjustments (C):
</t>
    </r>
    <r>
      <rPr>
        <b/>
        <sz val="12"/>
        <rFont val="Times New Roman"/>
        <family val="1"/>
      </rPr>
      <t>[C = C1 + C2 + C3 + C4 + C5 + C6 + C7 + C8 + C9]</t>
    </r>
  </si>
  <si>
    <r>
      <rPr>
        <sz val="12"/>
        <rFont val="Times New Roman"/>
        <family val="1"/>
      </rPr>
      <t xml:space="preserve">C = C1 + C2
</t>
    </r>
    <r>
      <rPr>
        <sz val="12"/>
        <rFont val="Times New Roman"/>
        <family val="1"/>
      </rPr>
      <t>+ C3 + C4 + C5 + C6 + C7 + C8 + C9</t>
    </r>
  </si>
  <si>
    <r>
      <rPr>
        <sz val="12"/>
        <rFont val="Times New Roman"/>
        <family val="1"/>
      </rPr>
      <t>Correction Factor (D)</t>
    </r>
  </si>
  <si>
    <r>
      <rPr>
        <sz val="12"/>
        <rFont val="Times New Roman"/>
        <family val="1"/>
      </rPr>
      <t>-K</t>
    </r>
  </si>
  <si>
    <r>
      <rPr>
        <b/>
        <sz val="12"/>
        <rFont val="Times New Roman"/>
        <family val="1"/>
      </rPr>
      <t>Total allowed Revenue (E): [E = A + B + C + D]</t>
    </r>
  </si>
  <si>
    <r>
      <rPr>
        <b/>
        <sz val="12"/>
        <rFont val="Times New Roman"/>
        <family val="1"/>
      </rPr>
      <t>AR</t>
    </r>
  </si>
  <si>
    <r>
      <rPr>
        <sz val="12"/>
        <rFont val="Times New Roman"/>
        <family val="1"/>
      </rPr>
      <t>E = A + B + C + D</t>
    </r>
  </si>
  <si>
    <r>
      <rPr>
        <sz val="12"/>
        <rFont val="Times New Roman"/>
        <family val="1"/>
      </rPr>
      <t>Other 1. Excluded services - Top-up, standby, and enhanced system security (F1) (see note 1)</t>
    </r>
  </si>
  <si>
    <r>
      <rPr>
        <sz val="12"/>
        <rFont val="Times New Roman"/>
        <family val="1"/>
      </rPr>
      <t>DRS4</t>
    </r>
  </si>
  <si>
    <r>
      <rPr>
        <sz val="12"/>
        <rFont val="Times New Roman"/>
        <family val="1"/>
      </rPr>
      <t>CRC5C</t>
    </r>
  </si>
  <si>
    <r>
      <rPr>
        <sz val="12"/>
        <rFont val="Times New Roman"/>
        <family val="1"/>
      </rPr>
      <t>Other 2. Excluded services - Revenue protection services (F2) (see note 1)</t>
    </r>
  </si>
  <si>
    <r>
      <rPr>
        <sz val="12"/>
        <rFont val="Times New Roman"/>
        <family val="1"/>
      </rPr>
      <t>DRS5</t>
    </r>
  </si>
  <si>
    <r>
      <rPr>
        <sz val="12"/>
        <rFont val="Times New Roman"/>
        <family val="1"/>
      </rPr>
      <t>Other 3. Excluded services - Miscellaneous (F3) (see note 1)</t>
    </r>
  </si>
  <si>
    <r>
      <rPr>
        <sz val="12"/>
        <rFont val="Times New Roman"/>
        <family val="1"/>
      </rPr>
      <t>DRS9</t>
    </r>
  </si>
  <si>
    <r>
      <rPr>
        <i/>
        <sz val="12"/>
        <rFont val="Times New Roman"/>
        <family val="1"/>
      </rPr>
      <t>Other 4. blank or if required please provide description (F4)</t>
    </r>
  </si>
  <si>
    <r>
      <rPr>
        <i/>
        <sz val="12"/>
        <rFont val="Times New Roman"/>
        <family val="1"/>
      </rPr>
      <t>Other 5. blank or if required please provide description (F5)</t>
    </r>
  </si>
  <si>
    <r>
      <rPr>
        <b/>
        <sz val="12"/>
        <rFont val="Times New Roman"/>
        <family val="1"/>
      </rPr>
      <t xml:space="preserve">Total other revenue recovered by Use of System Charges (F):
</t>
    </r>
    <r>
      <rPr>
        <b/>
        <sz val="12"/>
        <rFont val="Times New Roman"/>
        <family val="1"/>
      </rPr>
      <t>[F = F1 + F2 + F3 + F4 + F5]</t>
    </r>
  </si>
  <si>
    <r>
      <rPr>
        <sz val="12"/>
        <rFont val="Times New Roman"/>
        <family val="1"/>
      </rPr>
      <t xml:space="preserve">F = F1 + F2
</t>
    </r>
    <r>
      <rPr>
        <sz val="12"/>
        <rFont val="Times New Roman"/>
        <family val="1"/>
      </rPr>
      <t>+ F3 + F4 + F5</t>
    </r>
  </si>
  <si>
    <r>
      <rPr>
        <b/>
        <sz val="12"/>
        <rFont val="Times New Roman"/>
        <family val="1"/>
      </rPr>
      <t xml:space="preserve">Total Revenue for Use of System Charges (G):
</t>
    </r>
    <r>
      <rPr>
        <b/>
        <sz val="12"/>
        <rFont val="Times New Roman"/>
        <family val="1"/>
      </rPr>
      <t>[G = E + F]</t>
    </r>
  </si>
  <si>
    <r>
      <rPr>
        <sz val="12"/>
        <rFont val="Times New Roman"/>
        <family val="1"/>
      </rPr>
      <t>G = E + F</t>
    </r>
  </si>
  <si>
    <r>
      <rPr>
        <sz val="12"/>
        <rFont val="Times New Roman"/>
        <family val="1"/>
      </rPr>
      <t>1. Revenue raised outside CDCM - EDCM and Certain Interconnector Revenue (H1)</t>
    </r>
  </si>
  <si>
    <r>
      <rPr>
        <sz val="12"/>
        <rFont val="Times New Roman"/>
        <family val="1"/>
      </rPr>
      <t>2. Revenue raised outside CDCM - Voluntary under-recovery (H2)</t>
    </r>
  </si>
  <si>
    <r>
      <rPr>
        <i/>
        <sz val="12"/>
        <rFont val="Times New Roman"/>
        <family val="1"/>
      </rPr>
      <t>3. Revenue raised outside CDCM - blank or if required please provide description (H3)</t>
    </r>
  </si>
  <si>
    <t>4. Revenue raised outside CDCM - DUoS rebate (H4)</t>
  </si>
  <si>
    <r>
      <rPr>
        <b/>
        <sz val="12"/>
        <rFont val="Times New Roman"/>
        <family val="1"/>
      </rPr>
      <t xml:space="preserve">Total Revenue to be raised outside the CDCM (H):
</t>
    </r>
    <r>
      <rPr>
        <b/>
        <sz val="12"/>
        <rFont val="Times New Roman"/>
        <family val="1"/>
      </rPr>
      <t>[H = H1 + H2 + H3 + H4]</t>
    </r>
  </si>
  <si>
    <r>
      <rPr>
        <sz val="12"/>
        <rFont val="Times New Roman"/>
        <family val="1"/>
      </rPr>
      <t xml:space="preserve">H = H1 + H2
</t>
    </r>
    <r>
      <rPr>
        <sz val="12"/>
        <rFont val="Times New Roman"/>
        <family val="1"/>
      </rPr>
      <t>+ H3 + H4</t>
    </r>
  </si>
  <si>
    <r>
      <rPr>
        <b/>
        <sz val="12"/>
        <rFont val="Times New Roman"/>
        <family val="1"/>
      </rPr>
      <t xml:space="preserve">Latest forecast of CDCM Revenue (I):
</t>
    </r>
    <r>
      <rPr>
        <b/>
        <sz val="12"/>
        <rFont val="Times New Roman"/>
        <family val="1"/>
      </rPr>
      <t>[I = G - H]</t>
    </r>
  </si>
  <si>
    <r>
      <rPr>
        <sz val="12"/>
        <rFont val="Times New Roman"/>
        <family val="1"/>
      </rPr>
      <t>I = G - H</t>
    </r>
  </si>
  <si>
    <r>
      <rPr>
        <b/>
        <sz val="12"/>
        <rFont val="Times New Roman"/>
        <family val="1"/>
      </rPr>
      <t>CDCM Revenue Used in Charging Model</t>
    </r>
  </si>
  <si>
    <r>
      <rPr>
        <sz val="12"/>
        <rFont val="Times New Roman"/>
        <family val="1"/>
      </rPr>
      <t>Final Collected Revenue Forecast (J)</t>
    </r>
  </si>
  <si>
    <r>
      <rPr>
        <sz val="12"/>
        <rFont val="Times New Roman"/>
        <family val="1"/>
      </rPr>
      <t>Forecast Over / (Under) Recovery [being (J - F - E + H2)]</t>
    </r>
  </si>
  <si>
    <r>
      <rPr>
        <sz val="12"/>
        <rFont val="Times New Roman"/>
        <family val="1"/>
      </rPr>
      <t>J - F - E + H2</t>
    </r>
  </si>
  <si>
    <r>
      <rPr>
        <sz val="12"/>
        <rFont val="Times New Roman"/>
        <family val="1"/>
      </rPr>
      <t>Forecast overall percentage change to Allowed Revenue (K)</t>
    </r>
  </si>
  <si>
    <r>
      <rPr>
        <sz val="12"/>
        <rFont val="Times New Roman"/>
        <family val="1"/>
      </rPr>
      <t>Overall % change to Use of System Charges effective 1st April of Regulatory Year to balance (L)</t>
    </r>
  </si>
  <si>
    <r>
      <rPr>
        <sz val="12"/>
        <rFont val="Times New Roman"/>
        <family val="1"/>
      </rPr>
      <t>Note 1: Cost categories associated with excluded services should only be populated if the Company recovers the costs of providing these services from Use of System Charges</t>
    </r>
  </si>
  <si>
    <t>NGED South West</t>
  </si>
  <si>
    <t>Title:                                                   DCUSA Schedule 15 - Table 2 information</t>
  </si>
  <si>
    <t>Regulatory Year t</t>
  </si>
  <si>
    <t>Regulatory Year t+1</t>
  </si>
  <si>
    <t>Regulatory Year t+2</t>
  </si>
  <si>
    <t>£m</t>
  </si>
  <si>
    <t>Low</t>
  </si>
  <si>
    <t>Central</t>
  </si>
  <si>
    <t>High</t>
  </si>
  <si>
    <t>Under/over recovery</t>
  </si>
  <si>
    <t>RPI True-up</t>
  </si>
  <si>
    <t>Annual Iteration</t>
  </si>
  <si>
    <t>SOLR</t>
  </si>
  <si>
    <t>Broad Measure of Customer Service</t>
  </si>
  <si>
    <t>Quality of Service</t>
  </si>
  <si>
    <t>Incentive on Connections Engagement</t>
  </si>
  <si>
    <t>Time to Connect</t>
  </si>
  <si>
    <t>Low Carbon Network Fund</t>
  </si>
  <si>
    <t>Significant others (NIA)</t>
  </si>
  <si>
    <t>BEIS Rebate</t>
  </si>
  <si>
    <t>Total Allowed Revenue</t>
  </si>
  <si>
    <t>Final Collected Revenue Forecast</t>
  </si>
  <si>
    <t>Domestic Aggregated or CT with Residual</t>
  </si>
  <si>
    <t>Non-Domestic Aggregated or CT No Residual</t>
  </si>
  <si>
    <t>Non-Domestic Aggregated or CT Band 1</t>
  </si>
  <si>
    <t>Non-Domestic Aggregated or CT Band 2</t>
  </si>
  <si>
    <t>Non-Domestic Aggregated or CT Band 3</t>
  </si>
  <si>
    <t>Non-Domestic Aggregated or CT Band 4</t>
  </si>
  <si>
    <t>Non-Domestic Aggregated (Related MPAN)</t>
  </si>
  <si>
    <t>2028/29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</si>
</sst>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£&quot;#,##0;[Red]\-&quot;£&quot;#,##0"/>
    <numFmt numFmtId="43" formatCode="_-* #,##0.00_-;\-* #,##0.00_-;_-* &quot;-&quot;??_-;_-@_-"/>
    <numFmt numFmtId="164" formatCode="#,##0.0_);\(#,##0.0\);\-_)"/>
    <numFmt numFmtId="165" formatCode="_-* #,##0.0_-;\-* #,##0.0_-;_-* &quot;-&quot;??_-;_-@_-"/>
    <numFmt numFmtId="166" formatCode="_-* #,##0.000_-;\-* #,##0.000_-;_-* &quot;-&quot;??_-;_-@_-"/>
    <numFmt numFmtId="167" formatCode="_-* #,##0_-;\-* #,##0_-;_-* &quot;-&quot;??_-;_-@_-"/>
    <numFmt numFmtId="168" formatCode="_-* #,##0.0_-;\-* #,##0.0_-;_-* &quot;-&quot;?_-;_-@_-"/>
    <numFmt numFmtId="169" formatCode="0.000;\-0.000;;@\,"/>
    <numFmt numFmtId="170" formatCode="0.00;\-0.00;;@\,"/>
    <numFmt numFmtId="171" formatCode="0.000"/>
    <numFmt numFmtId="172" formatCode="0.0"/>
    <numFmt numFmtId="173" formatCode="mmm\ yyyy"/>
    <numFmt numFmtId="174" formatCode="0.000000"/>
    <numFmt numFmtId="175" formatCode="0.00000"/>
    <numFmt numFmtId="176" formatCode="0.0000000"/>
    <numFmt numFmtId="177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ill Sans MT"/>
      <family val="2"/>
    </font>
    <font>
      <sz val="10"/>
      <color theme="1"/>
      <name val="Gill Sans MT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FF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12"/>
      <name val="Calibri"/>
      <family val="2"/>
      <scheme val="minor"/>
    </font>
    <font>
      <i/>
      <sz val="12"/>
      <name val="Times New Roman"/>
      <family val="1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EBEBE"/>
      </patternFill>
    </fill>
    <fill>
      <patternFill patternType="solid">
        <fgColor rgb="FF95959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3" borderId="0"/>
    <xf numFmtId="164" fontId="6" fillId="4" borderId="0"/>
    <xf numFmtId="0" fontId="8" fillId="0" borderId="0"/>
  </cellStyleXfs>
  <cellXfs count="225">
    <xf numFmtId="0" fontId="0" fillId="0" borderId="0" xfId="0"/>
    <xf numFmtId="0" fontId="3" fillId="5" borderId="1" xfId="0" applyFont="1" applyFill="1" applyBorder="1"/>
    <xf numFmtId="0" fontId="0" fillId="0" borderId="1" xfId="0" applyBorder="1"/>
    <xf numFmtId="165" fontId="0" fillId="0" borderId="1" xfId="1" applyNumberFormat="1" applyFont="1" applyBorder="1"/>
    <xf numFmtId="165" fontId="3" fillId="5" borderId="1" xfId="1" applyNumberFormat="1" applyFont="1" applyFill="1" applyBorder="1"/>
    <xf numFmtId="10" fontId="0" fillId="0" borderId="1" xfId="2" applyNumberFormat="1" applyFont="1" applyBorder="1"/>
    <xf numFmtId="166" fontId="0" fillId="0" borderId="1" xfId="1" applyNumberFormat="1" applyFont="1" applyBorder="1"/>
    <xf numFmtId="0" fontId="3" fillId="6" borderId="1" xfId="0" applyFont="1" applyFill="1" applyBorder="1"/>
    <xf numFmtId="165" fontId="3" fillId="6" borderId="1" xfId="1" applyNumberFormat="1" applyFont="1" applyFill="1" applyBorder="1"/>
    <xf numFmtId="166" fontId="0" fillId="7" borderId="1" xfId="1" applyNumberFormat="1" applyFont="1" applyFill="1" applyBorder="1"/>
    <xf numFmtId="10" fontId="0" fillId="0" borderId="1" xfId="0" applyNumberFormat="1" applyBorder="1"/>
    <xf numFmtId="0" fontId="7" fillId="0" borderId="2" xfId="0" applyFont="1" applyBorder="1"/>
    <xf numFmtId="17" fontId="7" fillId="0" borderId="3" xfId="0" applyNumberFormat="1" applyFont="1" applyBorder="1"/>
    <xf numFmtId="0" fontId="0" fillId="0" borderId="3" xfId="0" applyBorder="1"/>
    <xf numFmtId="0" fontId="0" fillId="0" borderId="4" xfId="0" applyBorder="1"/>
    <xf numFmtId="0" fontId="3" fillId="5" borderId="5" xfId="0" applyFont="1" applyFill="1" applyBorder="1"/>
    <xf numFmtId="0" fontId="0" fillId="0" borderId="5" xfId="0" applyBorder="1"/>
    <xf numFmtId="165" fontId="0" fillId="0" borderId="6" xfId="1" applyNumberFormat="1" applyFont="1" applyBorder="1"/>
    <xf numFmtId="165" fontId="3" fillId="5" borderId="6" xfId="1" applyNumberFormat="1" applyFont="1" applyFill="1" applyBorder="1"/>
    <xf numFmtId="10" fontId="0" fillId="0" borderId="6" xfId="2" applyNumberFormat="1" applyFont="1" applyBorder="1"/>
    <xf numFmtId="166" fontId="0" fillId="0" borderId="6" xfId="1" applyNumberFormat="1" applyFont="1" applyBorder="1"/>
    <xf numFmtId="0" fontId="3" fillId="6" borderId="5" xfId="0" applyFont="1" applyFill="1" applyBorder="1"/>
    <xf numFmtId="165" fontId="3" fillId="6" borderId="6" xfId="1" applyNumberFormat="1" applyFont="1" applyFill="1" applyBorder="1"/>
    <xf numFmtId="0" fontId="0" fillId="7" borderId="5" xfId="0" applyFill="1" applyBorder="1"/>
    <xf numFmtId="166" fontId="0" fillId="7" borderId="6" xfId="1" applyNumberFormat="1" applyFont="1" applyFill="1" applyBorder="1"/>
    <xf numFmtId="10" fontId="0" fillId="0" borderId="6" xfId="0" applyNumberFormat="1" applyBorder="1"/>
    <xf numFmtId="0" fontId="0" fillId="5" borderId="7" xfId="0" applyFill="1" applyBorder="1"/>
    <xf numFmtId="0" fontId="0" fillId="5" borderId="8" xfId="0" applyFill="1" applyBorder="1"/>
    <xf numFmtId="165" fontId="0" fillId="5" borderId="8" xfId="1" applyNumberFormat="1" applyFont="1" applyFill="1" applyBorder="1"/>
    <xf numFmtId="165" fontId="0" fillId="5" borderId="9" xfId="1" applyNumberFormat="1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0" borderId="11" xfId="0" applyBorder="1"/>
    <xf numFmtId="10" fontId="0" fillId="0" borderId="11" xfId="0" applyNumberFormat="1" applyBorder="1"/>
    <xf numFmtId="10" fontId="0" fillId="0" borderId="12" xfId="0" applyNumberFormat="1" applyBorder="1"/>
    <xf numFmtId="0" fontId="0" fillId="0" borderId="16" xfId="0" applyBorder="1"/>
    <xf numFmtId="0" fontId="0" fillId="0" borderId="17" xfId="0" applyBorder="1"/>
    <xf numFmtId="166" fontId="0" fillId="0" borderId="17" xfId="0" applyNumberFormat="1" applyBorder="1"/>
    <xf numFmtId="0" fontId="0" fillId="0" borderId="18" xfId="0" applyBorder="1"/>
    <xf numFmtId="0" fontId="4" fillId="9" borderId="10" xfId="0" applyFont="1" applyFill="1" applyBorder="1"/>
    <xf numFmtId="0" fontId="4" fillId="9" borderId="11" xfId="0" applyFont="1" applyFill="1" applyBorder="1"/>
    <xf numFmtId="165" fontId="4" fillId="9" borderId="11" xfId="1" applyNumberFormat="1" applyFont="1" applyFill="1" applyBorder="1"/>
    <xf numFmtId="165" fontId="4" fillId="9" borderId="12" xfId="1" applyNumberFormat="1" applyFont="1" applyFill="1" applyBorder="1"/>
    <xf numFmtId="165" fontId="0" fillId="0" borderId="14" xfId="1" applyNumberFormat="1" applyFont="1" applyBorder="1"/>
    <xf numFmtId="165" fontId="0" fillId="0" borderId="15" xfId="1" applyNumberFormat="1" applyFont="1" applyBorder="1"/>
    <xf numFmtId="0" fontId="2" fillId="8" borderId="19" xfId="0" applyFont="1" applyFill="1" applyBorder="1"/>
    <xf numFmtId="0" fontId="2" fillId="8" borderId="20" xfId="0" applyFont="1" applyFill="1" applyBorder="1"/>
    <xf numFmtId="165" fontId="2" fillId="8" borderId="20" xfId="1" applyNumberFormat="1" applyFont="1" applyFill="1" applyBorder="1"/>
    <xf numFmtId="165" fontId="2" fillId="8" borderId="21" xfId="1" applyNumberFormat="1" applyFont="1" applyFill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0" fontId="3" fillId="6" borderId="7" xfId="0" applyFont="1" applyFill="1" applyBorder="1"/>
    <xf numFmtId="0" fontId="3" fillId="6" borderId="8" xfId="0" applyFont="1" applyFill="1" applyBorder="1"/>
    <xf numFmtId="165" fontId="3" fillId="6" borderId="8" xfId="1" applyNumberFormat="1" applyFont="1" applyFill="1" applyBorder="1"/>
    <xf numFmtId="165" fontId="3" fillId="6" borderId="9" xfId="1" applyNumberFormat="1" applyFont="1" applyFill="1" applyBorder="1"/>
    <xf numFmtId="0" fontId="0" fillId="7" borderId="7" xfId="0" applyFill="1" applyBorder="1"/>
    <xf numFmtId="166" fontId="0" fillId="7" borderId="8" xfId="1" applyNumberFormat="1" applyFont="1" applyFill="1" applyBorder="1"/>
    <xf numFmtId="166" fontId="0" fillId="7" borderId="9" xfId="1" applyNumberFormat="1" applyFont="1" applyFill="1" applyBorder="1"/>
    <xf numFmtId="167" fontId="0" fillId="0" borderId="1" xfId="1" applyNumberFormat="1" applyFont="1" applyBorder="1"/>
    <xf numFmtId="167" fontId="0" fillId="0" borderId="6" xfId="1" applyNumberFormat="1" applyFont="1" applyBorder="1"/>
    <xf numFmtId="0" fontId="3" fillId="2" borderId="22" xfId="0" applyFont="1" applyFill="1" applyBorder="1"/>
    <xf numFmtId="0" fontId="3" fillId="2" borderId="23" xfId="0" applyFont="1" applyFill="1" applyBorder="1"/>
    <xf numFmtId="0" fontId="3" fillId="7" borderId="22" xfId="0" applyFont="1" applyFill="1" applyBorder="1"/>
    <xf numFmtId="0" fontId="3" fillId="7" borderId="23" xfId="0" applyFont="1" applyFill="1" applyBorder="1"/>
    <xf numFmtId="0" fontId="3" fillId="10" borderId="22" xfId="0" applyFont="1" applyFill="1" applyBorder="1"/>
    <xf numFmtId="0" fontId="3" fillId="10" borderId="23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11" borderId="22" xfId="0" applyFont="1" applyFill="1" applyBorder="1"/>
    <xf numFmtId="0" fontId="3" fillId="11" borderId="23" xfId="0" applyFont="1" applyFill="1" applyBorder="1"/>
    <xf numFmtId="0" fontId="3" fillId="12" borderId="22" xfId="0" applyFont="1" applyFill="1" applyBorder="1"/>
    <xf numFmtId="0" fontId="3" fillId="12" borderId="23" xfId="0" applyFont="1" applyFill="1" applyBorder="1"/>
    <xf numFmtId="0" fontId="3" fillId="13" borderId="23" xfId="0" applyFont="1" applyFill="1" applyBorder="1"/>
    <xf numFmtId="0" fontId="0" fillId="12" borderId="23" xfId="0" applyFont="1" applyFill="1" applyBorder="1"/>
    <xf numFmtId="165" fontId="0" fillId="12" borderId="23" xfId="1" applyNumberFormat="1" applyFont="1" applyFill="1" applyBorder="1"/>
    <xf numFmtId="165" fontId="0" fillId="12" borderId="24" xfId="1" applyNumberFormat="1" applyFont="1" applyFill="1" applyBorder="1"/>
    <xf numFmtId="0" fontId="0" fillId="13" borderId="23" xfId="0" applyFont="1" applyFill="1" applyBorder="1"/>
    <xf numFmtId="165" fontId="0" fillId="13" borderId="23" xfId="1" applyNumberFormat="1" applyFont="1" applyFill="1" applyBorder="1"/>
    <xf numFmtId="165" fontId="0" fillId="13" borderId="24" xfId="1" applyNumberFormat="1" applyFont="1" applyFill="1" applyBorder="1"/>
    <xf numFmtId="165" fontId="3" fillId="2" borderId="23" xfId="1" applyNumberFormat="1" applyFont="1" applyFill="1" applyBorder="1"/>
    <xf numFmtId="165" fontId="3" fillId="2" borderId="24" xfId="1" applyNumberFormat="1" applyFont="1" applyFill="1" applyBorder="1"/>
    <xf numFmtId="165" fontId="3" fillId="7" borderId="23" xfId="1" applyNumberFormat="1" applyFont="1" applyFill="1" applyBorder="1"/>
    <xf numFmtId="165" fontId="3" fillId="7" borderId="24" xfId="1" applyNumberFormat="1" applyFont="1" applyFill="1" applyBorder="1"/>
    <xf numFmtId="165" fontId="3" fillId="10" borderId="23" xfId="1" applyNumberFormat="1" applyFont="1" applyFill="1" applyBorder="1"/>
    <xf numFmtId="165" fontId="3" fillId="10" borderId="24" xfId="1" applyNumberFormat="1" applyFont="1" applyFill="1" applyBorder="1"/>
    <xf numFmtId="165" fontId="3" fillId="11" borderId="23" xfId="1" applyNumberFormat="1" applyFont="1" applyFill="1" applyBorder="1"/>
    <xf numFmtId="165" fontId="3" fillId="11" borderId="24" xfId="1" applyNumberFormat="1" applyFont="1" applyFill="1" applyBorder="1"/>
    <xf numFmtId="165" fontId="1" fillId="12" borderId="23" xfId="1" applyNumberFormat="1" applyFont="1" applyFill="1" applyBorder="1"/>
    <xf numFmtId="165" fontId="1" fillId="12" borderId="24" xfId="1" applyNumberFormat="1" applyFont="1" applyFill="1" applyBorder="1"/>
    <xf numFmtId="165" fontId="1" fillId="13" borderId="23" xfId="1" applyNumberFormat="1" applyFont="1" applyFill="1" applyBorder="1"/>
    <xf numFmtId="165" fontId="1" fillId="13" borderId="24" xfId="1" applyNumberFormat="1" applyFont="1" applyFill="1" applyBorder="1"/>
    <xf numFmtId="0" fontId="0" fillId="12" borderId="22" xfId="0" applyFont="1" applyFill="1" applyBorder="1"/>
    <xf numFmtId="0" fontId="0" fillId="13" borderId="22" xfId="0" applyFont="1" applyFill="1" applyBorder="1"/>
    <xf numFmtId="168" fontId="0" fillId="0" borderId="0" xfId="0" applyNumberFormat="1"/>
    <xf numFmtId="0" fontId="2" fillId="14" borderId="10" xfId="0" applyFont="1" applyFill="1" applyBorder="1"/>
    <xf numFmtId="0" fontId="2" fillId="14" borderId="11" xfId="0" applyFont="1" applyFill="1" applyBorder="1"/>
    <xf numFmtId="0" fontId="2" fillId="14" borderId="7" xfId="0" applyFont="1" applyFill="1" applyBorder="1"/>
    <xf numFmtId="0" fontId="2" fillId="14" borderId="8" xfId="0" applyFont="1" applyFill="1" applyBorder="1"/>
    <xf numFmtId="43" fontId="2" fillId="14" borderId="8" xfId="0" applyNumberFormat="1" applyFont="1" applyFill="1" applyBorder="1"/>
    <xf numFmtId="43" fontId="2" fillId="14" borderId="9" xfId="0" applyNumberFormat="1" applyFont="1" applyFill="1" applyBorder="1"/>
    <xf numFmtId="0" fontId="0" fillId="0" borderId="25" xfId="0" applyBorder="1"/>
    <xf numFmtId="0" fontId="3" fillId="13" borderId="22" xfId="0" applyFont="1" applyFill="1" applyBorder="1"/>
    <xf numFmtId="166" fontId="0" fillId="7" borderId="5" xfId="1" applyNumberFormat="1" applyFont="1" applyFill="1" applyBorder="1"/>
    <xf numFmtId="166" fontId="0" fillId="7" borderId="7" xfId="1" applyNumberFormat="1" applyFont="1" applyFill="1" applyBorder="1"/>
    <xf numFmtId="0" fontId="0" fillId="0" borderId="19" xfId="0" applyBorder="1"/>
    <xf numFmtId="166" fontId="0" fillId="0" borderId="20" xfId="0" applyNumberFormat="1" applyBorder="1"/>
    <xf numFmtId="0" fontId="0" fillId="0" borderId="20" xfId="0" applyBorder="1"/>
    <xf numFmtId="0" fontId="0" fillId="0" borderId="21" xfId="0" applyBorder="1"/>
    <xf numFmtId="165" fontId="2" fillId="8" borderId="19" xfId="1" applyNumberFormat="1" applyFont="1" applyFill="1" applyBorder="1"/>
    <xf numFmtId="0" fontId="0" fillId="0" borderId="26" xfId="0" applyBorder="1"/>
    <xf numFmtId="166" fontId="0" fillId="0" borderId="27" xfId="0" applyNumberFormat="1" applyBorder="1"/>
    <xf numFmtId="0" fontId="0" fillId="0" borderId="27" xfId="0" applyBorder="1"/>
    <xf numFmtId="0" fontId="0" fillId="0" borderId="28" xfId="0" applyBorder="1"/>
    <xf numFmtId="165" fontId="4" fillId="9" borderId="10" xfId="1" applyNumberFormat="1" applyFont="1" applyFill="1" applyBorder="1"/>
    <xf numFmtId="165" fontId="0" fillId="5" borderId="7" xfId="1" applyNumberFormat="1" applyFont="1" applyFill="1" applyBorder="1"/>
    <xf numFmtId="10" fontId="0" fillId="0" borderId="10" xfId="0" applyNumberFormat="1" applyBorder="1"/>
    <xf numFmtId="10" fontId="0" fillId="0" borderId="5" xfId="0" applyNumberFormat="1" applyBorder="1"/>
    <xf numFmtId="0" fontId="7" fillId="0" borderId="3" xfId="0" applyFont="1" applyBorder="1"/>
    <xf numFmtId="0" fontId="7" fillId="0" borderId="1" xfId="0" applyFont="1" applyBorder="1"/>
    <xf numFmtId="0" fontId="0" fillId="6" borderId="1" xfId="0" applyFill="1" applyBorder="1"/>
    <xf numFmtId="0" fontId="9" fillId="15" borderId="1" xfId="5" quotePrefix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1" xfId="0" quotePrefix="1" applyFont="1" applyFill="1" applyBorder="1" applyAlignment="1">
      <alignment horizontal="center" vertical="center" wrapText="1"/>
    </xf>
    <xf numFmtId="0" fontId="9" fillId="15" borderId="1" xfId="0" applyFont="1" applyFill="1" applyBorder="1" applyAlignment="1" applyProtection="1">
      <alignment vertical="center" wrapText="1"/>
      <protection locked="0"/>
    </xf>
    <xf numFmtId="169" fontId="10" fillId="16" borderId="1" xfId="0" applyNumberFormat="1" applyFont="1" applyFill="1" applyBorder="1" applyAlignment="1" applyProtection="1">
      <alignment horizontal="center" vertical="center"/>
    </xf>
    <xf numFmtId="169" fontId="11" fillId="17" borderId="1" xfId="0" applyNumberFormat="1" applyFont="1" applyFill="1" applyBorder="1" applyAlignment="1" applyProtection="1">
      <alignment horizontal="center" vertical="center"/>
    </xf>
    <xf numFmtId="169" fontId="10" fillId="14" borderId="1" xfId="0" applyNumberFormat="1" applyFont="1" applyFill="1" applyBorder="1" applyAlignment="1" applyProtection="1">
      <alignment horizontal="center" vertical="center"/>
    </xf>
    <xf numFmtId="170" fontId="11" fillId="18" borderId="1" xfId="0" applyNumberFormat="1" applyFont="1" applyFill="1" applyBorder="1" applyAlignment="1" applyProtection="1">
      <alignment horizontal="center" vertical="center"/>
    </xf>
    <xf numFmtId="170" fontId="11" fillId="19" borderId="1" xfId="0" applyNumberFormat="1" applyFont="1" applyFill="1" applyBorder="1" applyAlignment="1" applyProtection="1">
      <alignment horizontal="center" vertical="center"/>
    </xf>
    <xf numFmtId="169" fontId="11" fillId="19" borderId="1" xfId="0" applyNumberFormat="1" applyFont="1" applyFill="1" applyBorder="1" applyAlignment="1" applyProtection="1">
      <alignment horizontal="center" vertical="center"/>
    </xf>
    <xf numFmtId="169" fontId="11" fillId="20" borderId="1" xfId="0" applyNumberFormat="1" applyFont="1" applyFill="1" applyBorder="1" applyAlignment="1" applyProtection="1">
      <alignment horizontal="center" vertical="center"/>
    </xf>
    <xf numFmtId="169" fontId="10" fillId="21" borderId="1" xfId="0" applyNumberFormat="1" applyFont="1" applyFill="1" applyBorder="1" applyAlignment="1" applyProtection="1">
      <alignment horizontal="center" vertical="center"/>
    </xf>
    <xf numFmtId="169" fontId="11" fillId="2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/>
    <xf numFmtId="0" fontId="3" fillId="2" borderId="1" xfId="0" applyFont="1" applyFill="1" applyBorder="1"/>
    <xf numFmtId="172" fontId="3" fillId="2" borderId="1" xfId="0" applyNumberFormat="1" applyFont="1" applyFill="1" applyBorder="1"/>
    <xf numFmtId="0" fontId="12" fillId="23" borderId="1" xfId="0" applyFont="1" applyFill="1" applyBorder="1"/>
    <xf numFmtId="171" fontId="12" fillId="23" borderId="1" xfId="0" applyNumberFormat="1" applyFont="1" applyFill="1" applyBorder="1"/>
    <xf numFmtId="2" fontId="2" fillId="14" borderId="11" xfId="0" applyNumberFormat="1" applyFont="1" applyFill="1" applyBorder="1"/>
    <xf numFmtId="2" fontId="12" fillId="23" borderId="1" xfId="0" applyNumberFormat="1" applyFont="1" applyFill="1" applyBorder="1"/>
    <xf numFmtId="0" fontId="0" fillId="24" borderId="1" xfId="0" applyFill="1" applyBorder="1"/>
    <xf numFmtId="43" fontId="0" fillId="24" borderId="1" xfId="0" applyNumberFormat="1" applyFill="1" applyBorder="1"/>
    <xf numFmtId="9" fontId="0" fillId="25" borderId="1" xfId="0" applyNumberFormat="1" applyFill="1" applyBorder="1"/>
    <xf numFmtId="0" fontId="3" fillId="24" borderId="5" xfId="0" applyFont="1" applyFill="1" applyBorder="1"/>
    <xf numFmtId="9" fontId="0" fillId="25" borderId="6" xfId="0" applyNumberFormat="1" applyFill="1" applyBorder="1"/>
    <xf numFmtId="0" fontId="0" fillId="24" borderId="5" xfId="0" applyFill="1" applyBorder="1"/>
    <xf numFmtId="43" fontId="0" fillId="24" borderId="6" xfId="0" applyNumberFormat="1" applyFill="1" applyBorder="1"/>
    <xf numFmtId="0" fontId="0" fillId="24" borderId="6" xfId="0" applyFill="1" applyBorder="1"/>
    <xf numFmtId="0" fontId="3" fillId="24" borderId="7" xfId="0" applyFont="1" applyFill="1" applyBorder="1"/>
    <xf numFmtId="0" fontId="3" fillId="24" borderId="8" xfId="0" applyFont="1" applyFill="1" applyBorder="1"/>
    <xf numFmtId="43" fontId="3" fillId="24" borderId="8" xfId="0" applyNumberFormat="1" applyFont="1" applyFill="1" applyBorder="1"/>
    <xf numFmtId="43" fontId="3" fillId="24" borderId="9" xfId="0" applyNumberFormat="1" applyFont="1" applyFill="1" applyBorder="1"/>
    <xf numFmtId="0" fontId="7" fillId="0" borderId="0" xfId="0" applyFont="1"/>
    <xf numFmtId="43" fontId="0" fillId="0" borderId="0" xfId="0" applyNumberFormat="1"/>
    <xf numFmtId="0" fontId="1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73" fontId="0" fillId="0" borderId="0" xfId="0" applyNumberFormat="1" applyFill="1" applyBorder="1" applyAlignment="1">
      <alignment horizontal="left" vertical="top"/>
    </xf>
    <xf numFmtId="172" fontId="0" fillId="0" borderId="0" xfId="0" applyNumberForma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172" fontId="0" fillId="0" borderId="1" xfId="0" applyNumberFormat="1" applyFill="1" applyBorder="1" applyAlignment="1">
      <alignment horizontal="center" vertical="center" wrapText="1"/>
    </xf>
    <xf numFmtId="172" fontId="0" fillId="0" borderId="0" xfId="0" applyNumberFormat="1"/>
    <xf numFmtId="171" fontId="0" fillId="0" borderId="1" xfId="0" applyNumberFormat="1" applyFill="1" applyBorder="1" applyAlignment="1">
      <alignment horizontal="center" vertical="center" wrapText="1"/>
    </xf>
    <xf numFmtId="171" fontId="0" fillId="0" borderId="0" xfId="0" applyNumberFormat="1"/>
    <xf numFmtId="0" fontId="13" fillId="26" borderId="1" xfId="0" applyFont="1" applyFill="1" applyBorder="1" applyAlignment="1">
      <alignment horizontal="left" vertical="top" wrapText="1"/>
    </xf>
    <xf numFmtId="0" fontId="13" fillId="26" borderId="1" xfId="0" applyFont="1" applyFill="1" applyBorder="1" applyAlignment="1">
      <alignment horizontal="center" vertical="top" wrapText="1"/>
    </xf>
    <xf numFmtId="172" fontId="13" fillId="26" borderId="1" xfId="0" applyNumberFormat="1" applyFont="1" applyFill="1" applyBorder="1" applyAlignment="1">
      <alignment horizontal="center" vertical="center" wrapText="1"/>
    </xf>
    <xf numFmtId="0" fontId="14" fillId="26" borderId="1" xfId="0" applyFont="1" applyFill="1" applyBorder="1" applyAlignment="1">
      <alignment horizontal="left" vertical="top" wrapText="1"/>
    </xf>
    <xf numFmtId="174" fontId="0" fillId="0" borderId="0" xfId="0" applyNumberFormat="1"/>
    <xf numFmtId="2" fontId="0" fillId="0" borderId="1" xfId="0" applyNumberFormat="1" applyFill="1" applyBorder="1" applyAlignment="1">
      <alignment horizontal="center" vertical="center" wrapText="1"/>
    </xf>
    <xf numFmtId="2" fontId="13" fillId="26" borderId="1" xfId="0" applyNumberFormat="1" applyFont="1" applyFill="1" applyBorder="1" applyAlignment="1">
      <alignment horizontal="center" vertical="center" wrapText="1"/>
    </xf>
    <xf numFmtId="0" fontId="0" fillId="26" borderId="1" xfId="0" applyFill="1" applyBorder="1" applyAlignment="1">
      <alignment horizontal="left" vertical="top" wrapText="1"/>
    </xf>
    <xf numFmtId="175" fontId="0" fillId="0" borderId="0" xfId="0" applyNumberFormat="1"/>
    <xf numFmtId="176" fontId="0" fillId="0" borderId="0" xfId="0" applyNumberFormat="1"/>
    <xf numFmtId="0" fontId="17" fillId="0" borderId="1" xfId="0" applyFont="1" applyFill="1" applyBorder="1" applyAlignment="1">
      <alignment horizontal="left" vertical="top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172" fontId="0" fillId="26" borderId="1" xfId="0" applyNumberForma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center" vertical="center" wrapText="1"/>
    </xf>
    <xf numFmtId="9" fontId="14" fillId="0" borderId="1" xfId="2" applyFont="1" applyFill="1" applyBorder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0" fillId="0" borderId="0" xfId="0" applyAlignment="1"/>
    <xf numFmtId="0" fontId="19" fillId="0" borderId="29" xfId="0" applyFont="1" applyFill="1" applyBorder="1" applyAlignment="1">
      <alignment horizontal="left" vertical="top" wrapText="1"/>
    </xf>
    <xf numFmtId="0" fontId="20" fillId="0" borderId="30" xfId="0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left" vertical="top" wrapText="1"/>
    </xf>
    <xf numFmtId="0" fontId="0" fillId="0" borderId="31" xfId="0" applyFont="1" applyFill="1" applyBorder="1" applyAlignment="1">
      <alignment horizontal="left" vertical="top" wrapText="1"/>
    </xf>
    <xf numFmtId="0" fontId="20" fillId="0" borderId="32" xfId="0" applyFont="1" applyFill="1" applyBorder="1" applyAlignment="1">
      <alignment horizontal="left" vertical="top" wrapText="1"/>
    </xf>
    <xf numFmtId="0" fontId="0" fillId="0" borderId="25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21" fillId="0" borderId="29" xfId="0" applyFont="1" applyFill="1" applyBorder="1" applyAlignment="1">
      <alignment horizontal="left" vertical="top" wrapText="1"/>
    </xf>
    <xf numFmtId="2" fontId="22" fillId="0" borderId="30" xfId="0" applyNumberFormat="1" applyFont="1" applyFill="1" applyBorder="1" applyAlignment="1">
      <alignment horizontal="center" vertical="top" wrapText="1"/>
    </xf>
    <xf numFmtId="0" fontId="22" fillId="27" borderId="14" xfId="0" applyFont="1" applyFill="1" applyBorder="1" applyAlignment="1">
      <alignment horizontal="left" vertical="top" wrapText="1"/>
    </xf>
    <xf numFmtId="0" fontId="22" fillId="27" borderId="30" xfId="0" applyFont="1" applyFill="1" applyBorder="1" applyAlignment="1">
      <alignment horizontal="left" vertical="top" wrapText="1"/>
    </xf>
    <xf numFmtId="2" fontId="22" fillId="0" borderId="1" xfId="0" applyNumberFormat="1" applyFont="1" applyFill="1" applyBorder="1" applyAlignment="1">
      <alignment horizontal="center" vertical="top" wrapText="1"/>
    </xf>
    <xf numFmtId="6" fontId="0" fillId="0" borderId="0" xfId="0" applyNumberFormat="1" applyAlignment="1"/>
    <xf numFmtId="0" fontId="19" fillId="0" borderId="0" xfId="0" applyFont="1" applyFill="1" applyBorder="1" applyAlignment="1">
      <alignment horizontal="left" vertical="top" wrapText="1"/>
    </xf>
    <xf numFmtId="177" fontId="0" fillId="0" borderId="0" xfId="2" applyNumberFormat="1" applyFont="1"/>
    <xf numFmtId="2" fontId="0" fillId="0" borderId="0" xfId="0" applyNumberFormat="1"/>
    <xf numFmtId="2" fontId="2" fillId="14" borderId="12" xfId="0" applyNumberFormat="1" applyFont="1" applyFill="1" applyBorder="1"/>
    <xf numFmtId="0" fontId="14" fillId="0" borderId="14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  <xf numFmtId="0" fontId="0" fillId="0" borderId="33" xfId="0" applyFont="1" applyBorder="1" applyAlignment="1">
      <alignment horizontal="left" vertical="top" wrapText="1"/>
    </xf>
    <xf numFmtId="0" fontId="19" fillId="0" borderId="34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35" xfId="0" applyFont="1" applyBorder="1" applyAlignment="1">
      <alignment horizontal="left" vertical="top" wrapText="1"/>
    </xf>
    <xf numFmtId="0" fontId="0" fillId="0" borderId="0" xfId="0" applyAlignment="1">
      <alignment wrapText="1"/>
    </xf>
  </cellXfs>
  <cellStyles count="6">
    <cellStyle name="Comma" xfId="1" builtinId="3"/>
    <cellStyle name="Level 2" xfId="4"/>
    <cellStyle name="Level 3" xfId="3"/>
    <cellStyle name="Normal" xfId="0" builtinId="0"/>
    <cellStyle name="Normal 2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%20Model/Annex%206%20-%20riio-ed1_revenue_reporting_pack_v7.0_September22%20legacy%20template_v2%20-SWEB%20DCP66A%20Aug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&amp;S/REG/Clause%2035A/May%202024/PCFMs/ED2%20PCFM%20SWEST%20202312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DCM/CDCM_v10_20231106%20SW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%20Model/Revenue%20Check%20PCFM%20V%20Revenue%20Ext%20Model%20v2%20v1point4%20DCP66A%20Aug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2\ChargingModelsFromDCUSA\Broken%20Links\CDCM_v7_2022-23_Pre-Release_20201106%20SWE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3\Charging%20Models%20From%20DCUSA\Broken%20Links\RevApr23%20SOLR%20Price%20Change\CDCM_v8_20211122_2023_24_Pre-Release%20SWEB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4\Current%20Charging%20Models%20from%20DCUSA\Broken%20Links\SWEB%20CDCM_v9_2022102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5\Charging%20Models%20From%20DCUSA\Broken%20Links\CDCM_v10_20231106%20SWEB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2\ChargingModelsFromDCUSA\Broken%20Links\RevARP22%20SOLR%20Price%20Change\CDCM_v7_2022-23_Pre-Release_20201106%20SWEB%20RevAPR22%20SOL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3\Charging%20Models%20From%20DCUSA\Broken%20Links\RevApr23%20SOLR%20Price%20Change\CDCM_v8_20211122_2023_24_Pre-Release%20SWEB%20SOL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CFMs/ED2%20PCFM%20SWEST%2020231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R1 Schematic"/>
      <sheetName val="R2 Changes Log"/>
      <sheetName val="R3 Data Change Log"/>
      <sheetName val="R4 Licence Condition Values"/>
      <sheetName val="R5a Links"/>
      <sheetName val="R5 Input Page"/>
      <sheetName val="R6 Base Demand Revenue"/>
      <sheetName val="R7 Output Incentives"/>
      <sheetName val="R8 Pass-Through Items"/>
      <sheetName val="R9 NIA"/>
      <sheetName val="R10 Low Carbon Networks Fund"/>
      <sheetName val="R11 Connections Performance"/>
      <sheetName val="R12 DPCR4 Losses and Growth"/>
      <sheetName val="R13 Correction Factor"/>
      <sheetName val="R14 Allowed Revenue Summary"/>
      <sheetName val="Licence Values"/>
      <sheetName val="Legacy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N6">
            <v>311.7</v>
          </cell>
        </row>
        <row r="7">
          <cell r="N7">
            <v>-46.2</v>
          </cell>
        </row>
        <row r="8">
          <cell r="N8">
            <v>-3.7499735784319905</v>
          </cell>
        </row>
        <row r="9">
          <cell r="N9">
            <v>1.321</v>
          </cell>
        </row>
      </sheetData>
      <sheetData sheetId="8">
        <row r="6">
          <cell r="N6">
            <v>3.3663741698171044</v>
          </cell>
        </row>
        <row r="7">
          <cell r="N7">
            <v>1.2929895953825647</v>
          </cell>
        </row>
        <row r="8">
          <cell r="N8">
            <v>0</v>
          </cell>
        </row>
        <row r="9">
          <cell r="N9">
            <v>0.85590788167712317</v>
          </cell>
        </row>
        <row r="10">
          <cell r="N10">
            <v>0</v>
          </cell>
        </row>
      </sheetData>
      <sheetData sheetId="9">
        <row r="6">
          <cell r="N6">
            <v>0.32547147689019978</v>
          </cell>
        </row>
        <row r="7">
          <cell r="N7">
            <v>-5.3207697213973635</v>
          </cell>
        </row>
        <row r="8">
          <cell r="N8">
            <v>-4.1991945441894112</v>
          </cell>
        </row>
        <row r="10">
          <cell r="N10">
            <v>1.414596600550807</v>
          </cell>
        </row>
        <row r="11">
          <cell r="N11">
            <v>-0.38468996247832832</v>
          </cell>
        </row>
        <row r="12">
          <cell r="N12">
            <v>4.4739735654577666E-2</v>
          </cell>
        </row>
        <row r="15">
          <cell r="N15">
            <v>53.985439536840182</v>
          </cell>
        </row>
        <row r="16">
          <cell r="N16">
            <v>0.61244447451075568</v>
          </cell>
        </row>
        <row r="154">
          <cell r="N154">
            <v>4.4369024812378694E-3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1">
          <cell r="N11">
            <v>0.93482999999999994</v>
          </cell>
        </row>
        <row r="12">
          <cell r="N12">
            <v>-0.17758700999999999</v>
          </cell>
        </row>
        <row r="15">
          <cell r="N15">
            <v>0</v>
          </cell>
        </row>
        <row r="17">
          <cell r="N17">
            <v>-9.1210886558024171</v>
          </cell>
        </row>
        <row r="18">
          <cell r="N18">
            <v>407.64786269443312</v>
          </cell>
        </row>
      </sheetData>
      <sheetData sheetId="16" refreshError="1"/>
      <sheetData sheetId="17">
        <row r="12">
          <cell r="M12">
            <v>349.74595694840701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serInterface"/>
      <sheetName val="SelectedInputs"/>
      <sheetName val="InputSummary"/>
      <sheetName val="Legacy"/>
      <sheetName val="Totex"/>
      <sheetName val="TIM"/>
      <sheetName val="Depn"/>
      <sheetName val="Return&amp;RAV"/>
      <sheetName val="TaxPools"/>
      <sheetName val="Finance&amp;Tax"/>
      <sheetName val="ReturnAdj"/>
      <sheetName val="Revenue"/>
      <sheetName val="AR"/>
      <sheetName val="Annual Inflation"/>
      <sheetName val="Monthly Inflation"/>
      <sheetName val="Checks"/>
      <sheetName val="ENWL"/>
      <sheetName val="NPgN"/>
      <sheetName val="NPgY"/>
      <sheetName val="WMID"/>
      <sheetName val="EMID"/>
      <sheetName val="SWALES"/>
      <sheetName val="SWEST"/>
      <sheetName val="LPN"/>
      <sheetName val="SPN"/>
      <sheetName val="EPN"/>
      <sheetName val="SPD"/>
      <sheetName val="SPMW"/>
      <sheetName val="SSEH"/>
      <sheetName val="SSES"/>
    </sheetNames>
    <sheetDataSet>
      <sheetData sheetId="0"/>
      <sheetData sheetId="1"/>
      <sheetData sheetId="2"/>
      <sheetData sheetId="3">
        <row r="61">
          <cell r="AR61">
            <v>30.404256896771294</v>
          </cell>
          <cell r="AS61">
            <v>27.628929394168772</v>
          </cell>
          <cell r="AT61">
            <v>28.823278830773361</v>
          </cell>
          <cell r="AU61">
            <v>16.378231280279138</v>
          </cell>
          <cell r="AV61">
            <v>10.820511779607095</v>
          </cell>
        </row>
        <row r="62">
          <cell r="AR62">
            <v>89.135083905494781</v>
          </cell>
          <cell r="AS62">
            <v>79.014547932023916</v>
          </cell>
          <cell r="AT62">
            <v>88.341094831603527</v>
          </cell>
          <cell r="AU62">
            <v>86.161028238616964</v>
          </cell>
          <cell r="AV62">
            <v>79.839851400448651</v>
          </cell>
        </row>
        <row r="63">
          <cell r="AR63">
            <v>26.308828907390097</v>
          </cell>
          <cell r="AS63">
            <v>38.737321746285808</v>
          </cell>
          <cell r="AT63">
            <v>38.31127063501269</v>
          </cell>
          <cell r="AU63">
            <v>19.777346342490471</v>
          </cell>
          <cell r="AV63">
            <v>16.810982422494654</v>
          </cell>
        </row>
        <row r="64">
          <cell r="AR64">
            <v>26.533047273042822</v>
          </cell>
          <cell r="AS64">
            <v>24.478819439376512</v>
          </cell>
          <cell r="AT64">
            <v>24.214687230533624</v>
          </cell>
          <cell r="AU64">
            <v>24.158302834102201</v>
          </cell>
          <cell r="AV64">
            <v>24.029584701360296</v>
          </cell>
        </row>
        <row r="65">
          <cell r="AR65">
            <v>13.806173663752173</v>
          </cell>
          <cell r="AS65">
            <v>13.162295874411299</v>
          </cell>
          <cell r="AT65">
            <v>12.770974975266236</v>
          </cell>
          <cell r="AU65">
            <v>12.61789495070976</v>
          </cell>
          <cell r="AV65">
            <v>12.481868371421465</v>
          </cell>
        </row>
        <row r="66">
          <cell r="AR66">
            <v>17.998208886506625</v>
          </cell>
          <cell r="AS66">
            <v>17.607078399094931</v>
          </cell>
          <cell r="AT66">
            <v>17.635316306739384</v>
          </cell>
          <cell r="AU66">
            <v>16.971829953229193</v>
          </cell>
          <cell r="AV66">
            <v>16.427818586802626</v>
          </cell>
        </row>
        <row r="67">
          <cell r="AR67">
            <v>89.005085796998088</v>
          </cell>
          <cell r="AS67">
            <v>88.239202647607684</v>
          </cell>
          <cell r="AT67">
            <v>87.875472730886443</v>
          </cell>
          <cell r="AU67">
            <v>88.104527032754419</v>
          </cell>
          <cell r="AV67">
            <v>87.978104594837134</v>
          </cell>
        </row>
        <row r="72">
          <cell r="AR72">
            <v>-1.1924660830147804</v>
          </cell>
          <cell r="AS72">
            <v>12.648342647824272</v>
          </cell>
          <cell r="AT72">
            <v>35.404624111657185</v>
          </cell>
          <cell r="AU72">
            <v>48.646182750889608</v>
          </cell>
          <cell r="AV72">
            <v>44.318078302843446</v>
          </cell>
        </row>
        <row r="73">
          <cell r="AR73">
            <v>1.4424460435180053</v>
          </cell>
          <cell r="AS73">
            <v>1.4328934207132504</v>
          </cell>
          <cell r="AT73">
            <v>1.1367621137658452</v>
          </cell>
          <cell r="AU73">
            <v>0.23881557011887505</v>
          </cell>
          <cell r="AV73">
            <v>0.23881557011887505</v>
          </cell>
        </row>
        <row r="74">
          <cell r="AR74">
            <v>1.9334768365415971</v>
          </cell>
          <cell r="AS74">
            <v>1.6714924277356165</v>
          </cell>
          <cell r="AT74">
            <v>1.0721007445045196</v>
          </cell>
          <cell r="AU74">
            <v>0.94533209411537367</v>
          </cell>
          <cell r="AV74">
            <v>1.2388444346524146</v>
          </cell>
        </row>
        <row r="75"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</row>
        <row r="76"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</row>
        <row r="77">
          <cell r="AR77">
            <v>0.26269174117653044</v>
          </cell>
          <cell r="AS77">
            <v>0.50604583389236069</v>
          </cell>
          <cell r="AT77">
            <v>0.93882162389580581</v>
          </cell>
          <cell r="AU77">
            <v>1.1637438913023095</v>
          </cell>
          <cell r="AV77">
            <v>1.1804923472677094</v>
          </cell>
        </row>
        <row r="78">
          <cell r="AR78">
            <v>6.6376829612425747E-2</v>
          </cell>
          <cell r="AS78">
            <v>5.7394656563732868E-2</v>
          </cell>
          <cell r="AT78">
            <v>0.16787437798444213</v>
          </cell>
          <cell r="AU78">
            <v>0.16516349231971267</v>
          </cell>
          <cell r="AV78">
            <v>0.17144011034743903</v>
          </cell>
        </row>
        <row r="83">
          <cell r="AR83">
            <v>1.5379118453633793</v>
          </cell>
          <cell r="AS83">
            <v>1.5379118453633793</v>
          </cell>
          <cell r="AT83">
            <v>1.5379118453633793</v>
          </cell>
          <cell r="AU83">
            <v>1.5379118453633793</v>
          </cell>
          <cell r="AV83">
            <v>1.5379118453633793</v>
          </cell>
        </row>
        <row r="84">
          <cell r="AR84">
            <v>18.786711757078074</v>
          </cell>
          <cell r="AS84">
            <v>19.970956243055891</v>
          </cell>
          <cell r="AT84">
            <v>20.151842219976167</v>
          </cell>
          <cell r="AU84">
            <v>20.279875092477624</v>
          </cell>
          <cell r="AV84">
            <v>20.54969776136149</v>
          </cell>
        </row>
        <row r="85">
          <cell r="AR85">
            <v>5.1562482246882073</v>
          </cell>
          <cell r="AS85">
            <v>7.8719057563439909</v>
          </cell>
          <cell r="AT85">
            <v>8.2734565784959884</v>
          </cell>
          <cell r="AU85">
            <v>8.2734565784959848</v>
          </cell>
          <cell r="AV85">
            <v>8.2734565784959866</v>
          </cell>
        </row>
        <row r="86">
          <cell r="AR86">
            <v>1.6345159338464945</v>
          </cell>
          <cell r="AS86">
            <v>1.6377376796476351</v>
          </cell>
          <cell r="AT86">
            <v>1.6463813689065041</v>
          </cell>
          <cell r="AU86">
            <v>1.6389898543691999</v>
          </cell>
          <cell r="AV86">
            <v>1.6476411271182239</v>
          </cell>
        </row>
        <row r="87">
          <cell r="AR87">
            <v>0.45350000000000001</v>
          </cell>
          <cell r="AS87">
            <v>0.43190000000000001</v>
          </cell>
          <cell r="AT87">
            <v>0.58550000000000002</v>
          </cell>
          <cell r="AU87">
            <v>0.4143</v>
          </cell>
          <cell r="AV87">
            <v>0.41820000000000002</v>
          </cell>
        </row>
        <row r="88">
          <cell r="AR88">
            <v>3.6200000000000003E-2</v>
          </cell>
          <cell r="AS88">
            <v>3.6200000000000003E-2</v>
          </cell>
          <cell r="AT88">
            <v>3.6200000000000003E-2</v>
          </cell>
          <cell r="AU88">
            <v>3.6200000000000003E-2</v>
          </cell>
          <cell r="AV88">
            <v>3.6200000000000003E-2</v>
          </cell>
        </row>
        <row r="89">
          <cell r="AR89">
            <v>11.460880226759036</v>
          </cell>
          <cell r="AS89">
            <v>0.36177781223878441</v>
          </cell>
          <cell r="AT89">
            <v>0</v>
          </cell>
          <cell r="AU89">
            <v>0</v>
          </cell>
          <cell r="AV89">
            <v>0</v>
          </cell>
        </row>
        <row r="90">
          <cell r="AR90">
            <v>2.1002301594751024E-2</v>
          </cell>
          <cell r="AS90">
            <v>6.8158594421151769E-2</v>
          </cell>
          <cell r="AT90">
            <v>1.1114937287807588E-4</v>
          </cell>
          <cell r="AU90">
            <v>0</v>
          </cell>
          <cell r="AV90">
            <v>0</v>
          </cell>
        </row>
        <row r="91">
          <cell r="AR91">
            <v>0</v>
          </cell>
          <cell r="AS91">
            <v>0.5</v>
          </cell>
          <cell r="AT91">
            <v>0.5</v>
          </cell>
          <cell r="AU91">
            <v>0.5</v>
          </cell>
          <cell r="AV91">
            <v>0.59999999999999987</v>
          </cell>
        </row>
        <row r="92"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</row>
        <row r="93"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</row>
        <row r="94"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</row>
        <row r="101">
          <cell r="AR101">
            <v>0.25358599999999987</v>
          </cell>
          <cell r="AS101">
            <v>0.26</v>
          </cell>
          <cell r="AT101">
            <v>0.26</v>
          </cell>
          <cell r="AU101">
            <v>0.26</v>
          </cell>
          <cell r="AV101">
            <v>0.26</v>
          </cell>
        </row>
        <row r="102">
          <cell r="AR102">
            <v>-0.57838000000000633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</row>
        <row r="103">
          <cell r="AR103">
            <v>-3.0196670621719353</v>
          </cell>
          <cell r="AS103">
            <v>0.22</v>
          </cell>
          <cell r="AT103">
            <v>0.14000000000000001</v>
          </cell>
          <cell r="AU103">
            <v>7.0000000000000007E-2</v>
          </cell>
          <cell r="AV103">
            <v>0</v>
          </cell>
        </row>
        <row r="104"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</row>
        <row r="105"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</row>
        <row r="106">
          <cell r="AR106">
            <v>0.39</v>
          </cell>
          <cell r="AS106">
            <v>0.39</v>
          </cell>
          <cell r="AT106">
            <v>0.39</v>
          </cell>
          <cell r="AU106">
            <v>0.39</v>
          </cell>
          <cell r="AV106">
            <v>0.39</v>
          </cell>
        </row>
        <row r="107"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</row>
        <row r="108"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</row>
      </sheetData>
      <sheetData sheetId="4"/>
      <sheetData sheetId="5">
        <row r="12">
          <cell r="AR12">
            <v>30.04817406952834</v>
          </cell>
          <cell r="AS12">
            <v>26.973313973139696</v>
          </cell>
          <cell r="AT12">
            <v>28.779185000128518</v>
          </cell>
          <cell r="AU12">
            <v>21.648717102171958</v>
          </cell>
          <cell r="AV12">
            <v>19.453482791929058</v>
          </cell>
        </row>
        <row r="13">
          <cell r="AR13">
            <v>85.216458082848874</v>
          </cell>
          <cell r="AS13">
            <v>85.140735047476113</v>
          </cell>
          <cell r="AT13">
            <v>90.032173320909919</v>
          </cell>
          <cell r="AU13">
            <v>92.002401299848046</v>
          </cell>
          <cell r="AV13">
            <v>87.066123446857716</v>
          </cell>
        </row>
        <row r="14">
          <cell r="AR14">
            <v>27.793436371267376</v>
          </cell>
          <cell r="AS14">
            <v>33.484487569919281</v>
          </cell>
          <cell r="AT14">
            <v>38.318512146609116</v>
          </cell>
          <cell r="AU14">
            <v>24.164787280425038</v>
          </cell>
          <cell r="AV14">
            <v>21.30515765671927</v>
          </cell>
        </row>
        <row r="15">
          <cell r="AR15">
            <v>22.921678435291092</v>
          </cell>
          <cell r="AS15">
            <v>22.810727037013233</v>
          </cell>
          <cell r="AT15">
            <v>22.449316028531037</v>
          </cell>
          <cell r="AU15">
            <v>22.544488682174528</v>
          </cell>
          <cell r="AV15">
            <v>22.095423808250864</v>
          </cell>
        </row>
        <row r="16">
          <cell r="AR16">
            <v>13.945631195861715</v>
          </cell>
          <cell r="AS16">
            <v>13.882587652615342</v>
          </cell>
          <cell r="AT16">
            <v>13.605338044724329</v>
          </cell>
          <cell r="AU16">
            <v>13.553867555841151</v>
          </cell>
          <cell r="AV16">
            <v>13.529823591312171</v>
          </cell>
        </row>
        <row r="17">
          <cell r="AR17">
            <v>15.722563847607672</v>
          </cell>
          <cell r="AS17">
            <v>15.464025870332708</v>
          </cell>
          <cell r="AT17">
            <v>15.331943821616758</v>
          </cell>
          <cell r="AU17">
            <v>15.074016067676164</v>
          </cell>
          <cell r="AV17">
            <v>14.753220802467549</v>
          </cell>
        </row>
        <row r="18">
          <cell r="AR18">
            <v>78.657538973555489</v>
          </cell>
          <cell r="AS18">
            <v>76.428509268996109</v>
          </cell>
          <cell r="AT18">
            <v>73.351013503919802</v>
          </cell>
          <cell r="AU18">
            <v>72.066119498597629</v>
          </cell>
          <cell r="AV18">
            <v>72.407219153836266</v>
          </cell>
        </row>
        <row r="23">
          <cell r="AR23">
            <v>-1.0967134444588744</v>
          </cell>
          <cell r="AS23">
            <v>13.068777453425396</v>
          </cell>
          <cell r="AT23">
            <v>36.418461884354876</v>
          </cell>
          <cell r="AU23">
            <v>50.108513361470024</v>
          </cell>
          <cell r="AV23">
            <v>46.073601976073533</v>
          </cell>
        </row>
        <row r="24">
          <cell r="AR24">
            <v>1.50508191150227</v>
          </cell>
          <cell r="AS24">
            <v>1.5006344850294393</v>
          </cell>
          <cell r="AT24">
            <v>1.1999394096039138</v>
          </cell>
          <cell r="AU24">
            <v>0.27219540360694389</v>
          </cell>
          <cell r="AV24">
            <v>0.29022709463399715</v>
          </cell>
        </row>
        <row r="25">
          <cell r="AR25">
            <v>1.999159424044483</v>
          </cell>
          <cell r="AS25">
            <v>1.728275082469424</v>
          </cell>
          <cell r="AT25">
            <v>1.1085213261385796</v>
          </cell>
          <cell r="AU25">
            <v>0.97744618869231359</v>
          </cell>
          <cell r="AV25">
            <v>1.2809295046380822</v>
          </cell>
        </row>
        <row r="26"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R29">
            <v>-8.4910552725134397E-2</v>
          </cell>
          <cell r="AS29">
            <v>1.432325008945242</v>
          </cell>
          <cell r="AT29">
            <v>4.0636552287565531</v>
          </cell>
          <cell r="AU29">
            <v>5.5218496368025738</v>
          </cell>
          <cell r="AV29">
            <v>5.0561669012774733</v>
          </cell>
        </row>
      </sheetData>
      <sheetData sheetId="6">
        <row r="53">
          <cell r="AR53">
            <v>0.79</v>
          </cell>
          <cell r="AS53">
            <v>0.79</v>
          </cell>
          <cell r="AT53">
            <v>0.79</v>
          </cell>
          <cell r="AU53">
            <v>0.79</v>
          </cell>
          <cell r="AV53">
            <v>0.79</v>
          </cell>
        </row>
        <row r="60">
          <cell r="AR60">
            <v>0.85</v>
          </cell>
          <cell r="AS60">
            <v>0.85</v>
          </cell>
          <cell r="AT60">
            <v>0.85</v>
          </cell>
          <cell r="AU60">
            <v>0.85</v>
          </cell>
          <cell r="AV60">
            <v>0.85</v>
          </cell>
        </row>
      </sheetData>
      <sheetData sheetId="7">
        <row r="29">
          <cell r="AR29">
            <v>80.536592007839971</v>
          </cell>
          <cell r="AS29">
            <v>75.514922372730155</v>
          </cell>
          <cell r="AT29">
            <v>69.709277117809052</v>
          </cell>
          <cell r="AU29">
            <v>64.118675022162904</v>
          </cell>
          <cell r="AV29">
            <v>57.987654326767355</v>
          </cell>
        </row>
        <row r="30">
          <cell r="AR30">
            <v>50.111666976603196</v>
          </cell>
          <cell r="AS30">
            <v>50.111666976603196</v>
          </cell>
          <cell r="AT30">
            <v>50.111666976603196</v>
          </cell>
          <cell r="AU30">
            <v>50.111666976603196</v>
          </cell>
          <cell r="AV30">
            <v>50.111666976603196</v>
          </cell>
        </row>
        <row r="31">
          <cell r="AR31">
            <v>0</v>
          </cell>
          <cell r="AS31">
            <v>5.0270204742437894</v>
          </cell>
          <cell r="AT31">
            <v>10.290918180105495</v>
          </cell>
          <cell r="AU31">
            <v>16.150444989542091</v>
          </cell>
          <cell r="AV31">
            <v>21.781111288929473</v>
          </cell>
        </row>
      </sheetData>
      <sheetData sheetId="8">
        <row r="12">
          <cell r="AR12">
            <v>3.97335776E-2</v>
          </cell>
          <cell r="AS12">
            <v>4.1370183200000001E-2</v>
          </cell>
          <cell r="AT12">
            <v>4.1450170800000005E-2</v>
          </cell>
          <cell r="AU12">
            <v>4.15681044E-2</v>
          </cell>
          <cell r="AV12">
            <v>4.1755693600000005E-2</v>
          </cell>
        </row>
        <row r="15">
          <cell r="AR15">
            <v>2058.2891964827722</v>
          </cell>
          <cell r="AS15">
            <v>2164.510983422972</v>
          </cell>
          <cell r="AT15">
            <v>2298.0778275731009</v>
          </cell>
          <cell r="AU15">
            <v>2421.0770240572251</v>
          </cell>
          <cell r="AV15">
            <v>2530.7369182455086</v>
          </cell>
        </row>
        <row r="43">
          <cell r="AR43">
            <v>1962.7215341262449</v>
          </cell>
          <cell r="AS43">
            <v>2058.2891964827722</v>
          </cell>
          <cell r="AT43">
            <v>2164.510983422972</v>
          </cell>
          <cell r="AU43">
            <v>2298.0778275731009</v>
          </cell>
          <cell r="AV43">
            <v>2421.0770240572251</v>
          </cell>
        </row>
      </sheetData>
      <sheetData sheetId="9"/>
      <sheetData sheetId="10"/>
      <sheetData sheetId="11"/>
      <sheetData sheetId="12">
        <row r="8">
          <cell r="AS8">
            <v>61.673984670753342</v>
          </cell>
        </row>
        <row r="13"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AR14">
            <v>4.5444014907725929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R15">
            <v>1.1499999999999999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7">
          <cell r="AR17">
            <v>0.80757551724244026</v>
          </cell>
          <cell r="AS17">
            <v>0.80757551724244026</v>
          </cell>
          <cell r="AT17">
            <v>0.80757551724244026</v>
          </cell>
          <cell r="AU17">
            <v>0.80757551724244026</v>
          </cell>
          <cell r="AV17">
            <v>0.76969793103023898</v>
          </cell>
        </row>
        <row r="18"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20">
          <cell r="AR20">
            <v>4.0786295518901587</v>
          </cell>
          <cell r="AS20">
            <v>3.9858854788293363</v>
          </cell>
          <cell r="AT20">
            <v>2.3450898511770832</v>
          </cell>
          <cell r="AU20">
            <v>6.0151570468238509</v>
          </cell>
          <cell r="AV20">
            <v>6.9464517848000895</v>
          </cell>
        </row>
        <row r="21"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</sheetData>
      <sheetData sheetId="13">
        <row r="16">
          <cell r="AO16">
            <v>1</v>
          </cell>
          <cell r="AP16">
            <v>1.0577620396600564</v>
          </cell>
          <cell r="AQ16">
            <v>1.1939376770538244</v>
          </cell>
          <cell r="AR16">
            <v>1.2891506141768156</v>
          </cell>
          <cell r="AS16">
            <v>1.3284361388165782</v>
          </cell>
          <cell r="AT16">
            <v>1.3511547218960771</v>
          </cell>
          <cell r="AU16">
            <v>1.3719916643626167</v>
          </cell>
          <cell r="AV16">
            <v>1.3966351746111914</v>
          </cell>
        </row>
        <row r="17">
          <cell r="AO17">
            <v>294.16666666666669</v>
          </cell>
          <cell r="AP17">
            <v>311.1583333333333</v>
          </cell>
          <cell r="AQ17">
            <v>351.2166666666667</v>
          </cell>
          <cell r="AR17">
            <v>379.22513900367994</v>
          </cell>
          <cell r="AS17">
            <v>390.78163083521014</v>
          </cell>
          <cell r="AT17">
            <v>397.46468069109602</v>
          </cell>
          <cell r="AU17">
            <v>403.59421460000311</v>
          </cell>
          <cell r="AV17">
            <v>410.84351386479216</v>
          </cell>
        </row>
        <row r="51"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</row>
        <row r="52">
          <cell r="AR52">
            <v>-5.3800359373021589</v>
          </cell>
          <cell r="AS52">
            <v>35.487583066442582</v>
          </cell>
          <cell r="AT52">
            <v>0.16245136617516331</v>
          </cell>
          <cell r="AU52">
            <v>0.19768918181357306</v>
          </cell>
          <cell r="AV52">
            <v>0.20960521272003757</v>
          </cell>
        </row>
        <row r="53">
          <cell r="AR53">
            <v>395.9970986316992</v>
          </cell>
          <cell r="AS53">
            <v>475.66476683742547</v>
          </cell>
          <cell r="AT53">
            <v>415.65029080445493</v>
          </cell>
          <cell r="AU53">
            <v>452.27853354898792</v>
          </cell>
          <cell r="AV53">
            <v>464.5330808746649</v>
          </cell>
        </row>
        <row r="58">
          <cell r="AQ58">
            <v>408.10232320735844</v>
          </cell>
        </row>
        <row r="62">
          <cell r="AQ62">
            <v>413.09147007999997</v>
          </cell>
          <cell r="AR62">
            <v>376.93760728803011</v>
          </cell>
          <cell r="AS62">
            <v>497.18336077315752</v>
          </cell>
          <cell r="AT62">
            <v>416.19988552826158</v>
          </cell>
          <cell r="AU62">
            <v>452.27853354898792</v>
          </cell>
          <cell r="AV62">
            <v>464.5330808746649</v>
          </cell>
        </row>
        <row r="65">
          <cell r="AQ65">
            <v>2.4934999999999999E-2</v>
          </cell>
          <cell r="AR65">
            <v>3.97335776E-2</v>
          </cell>
          <cell r="AS65">
            <v>4.1370183200000001E-2</v>
          </cell>
          <cell r="AT65">
            <v>4.1450170800000005E-2</v>
          </cell>
          <cell r="AU65">
            <v>4.15681044E-2</v>
          </cell>
          <cell r="AV65">
            <v>4.1755693600000005E-2</v>
          </cell>
        </row>
        <row r="66">
          <cell r="AQ66">
            <v>7.9746990946746754E-2</v>
          </cell>
          <cell r="AR66">
            <v>3.0473960302030534E-2</v>
          </cell>
          <cell r="AS66">
            <v>1.7101750257816128E-2</v>
          </cell>
          <cell r="AT66">
            <v>1.5421581354723823E-2</v>
          </cell>
          <cell r="AU66">
            <v>1.7961851291584452E-2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">
          <cell r="J16">
            <v>24.78</v>
          </cell>
          <cell r="K16">
            <v>1.6240000000000001</v>
          </cell>
          <cell r="L16">
            <v>0.20200000000000001</v>
          </cell>
          <cell r="M16">
            <v>14.11</v>
          </cell>
          <cell r="N16">
            <v>0</v>
          </cell>
          <cell r="O16">
            <v>0</v>
          </cell>
          <cell r="P16">
            <v>0</v>
          </cell>
        </row>
        <row r="17">
          <cell r="J17">
            <v>24.78</v>
          </cell>
          <cell r="K17">
            <v>1.6240000000000001</v>
          </cell>
          <cell r="L17">
            <v>0.20200000000000001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J18">
            <v>25.768000000000001</v>
          </cell>
          <cell r="K18">
            <v>1.6890000000000001</v>
          </cell>
          <cell r="L18">
            <v>0.21</v>
          </cell>
          <cell r="M18">
            <v>18.18</v>
          </cell>
          <cell r="N18">
            <v>0</v>
          </cell>
          <cell r="O18">
            <v>0</v>
          </cell>
          <cell r="P18">
            <v>0</v>
          </cell>
        </row>
        <row r="19">
          <cell r="J19">
            <v>25.768000000000001</v>
          </cell>
          <cell r="K19">
            <v>1.6890000000000001</v>
          </cell>
          <cell r="L19">
            <v>0.21</v>
          </cell>
          <cell r="M19">
            <v>20.69</v>
          </cell>
          <cell r="N19">
            <v>0</v>
          </cell>
          <cell r="O19">
            <v>0</v>
          </cell>
          <cell r="P19">
            <v>0</v>
          </cell>
        </row>
        <row r="20">
          <cell r="J20">
            <v>25.768000000000001</v>
          </cell>
          <cell r="K20">
            <v>1.6890000000000001</v>
          </cell>
          <cell r="L20">
            <v>0.21</v>
          </cell>
          <cell r="M20">
            <v>23.71</v>
          </cell>
          <cell r="N20">
            <v>0</v>
          </cell>
          <cell r="O20">
            <v>0</v>
          </cell>
          <cell r="P20">
            <v>0</v>
          </cell>
        </row>
        <row r="21">
          <cell r="J21">
            <v>25.768000000000001</v>
          </cell>
          <cell r="K21">
            <v>1.6890000000000001</v>
          </cell>
          <cell r="L21">
            <v>0.21</v>
          </cell>
          <cell r="M21">
            <v>29.47</v>
          </cell>
          <cell r="N21">
            <v>0</v>
          </cell>
          <cell r="O21">
            <v>0</v>
          </cell>
          <cell r="P21">
            <v>0</v>
          </cell>
        </row>
        <row r="22">
          <cell r="J22">
            <v>25.768000000000001</v>
          </cell>
          <cell r="K22">
            <v>1.6890000000000001</v>
          </cell>
          <cell r="L22">
            <v>0.21</v>
          </cell>
          <cell r="M22">
            <v>51.54</v>
          </cell>
          <cell r="N22">
            <v>0</v>
          </cell>
          <cell r="O22">
            <v>0</v>
          </cell>
          <cell r="P22">
            <v>0</v>
          </cell>
        </row>
        <row r="23">
          <cell r="J23">
            <v>25.768000000000001</v>
          </cell>
          <cell r="K23">
            <v>1.6890000000000001</v>
          </cell>
          <cell r="L23">
            <v>0.21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J24">
            <v>15.821</v>
          </cell>
          <cell r="K24">
            <v>0.94399999999999995</v>
          </cell>
          <cell r="L24">
            <v>0.114</v>
          </cell>
          <cell r="M24">
            <v>18.940000000000001</v>
          </cell>
          <cell r="N24">
            <v>12.55</v>
          </cell>
          <cell r="O24">
            <v>12.55</v>
          </cell>
          <cell r="P24">
            <v>0.19700000000000001</v>
          </cell>
        </row>
        <row r="25">
          <cell r="J25">
            <v>15.821</v>
          </cell>
          <cell r="K25">
            <v>0.94399999999999995</v>
          </cell>
          <cell r="L25">
            <v>0.114</v>
          </cell>
          <cell r="M25">
            <v>82.61</v>
          </cell>
          <cell r="N25">
            <v>12.55</v>
          </cell>
          <cell r="O25">
            <v>12.55</v>
          </cell>
          <cell r="P25">
            <v>0.19700000000000001</v>
          </cell>
        </row>
        <row r="26">
          <cell r="J26">
            <v>15.821</v>
          </cell>
          <cell r="K26">
            <v>0.94399999999999995</v>
          </cell>
          <cell r="L26">
            <v>0.114</v>
          </cell>
          <cell r="M26">
            <v>131.81</v>
          </cell>
          <cell r="N26">
            <v>12.55</v>
          </cell>
          <cell r="O26">
            <v>12.55</v>
          </cell>
          <cell r="P26">
            <v>0.19700000000000001</v>
          </cell>
        </row>
        <row r="27">
          <cell r="J27">
            <v>15.821</v>
          </cell>
          <cell r="K27">
            <v>0.94399999999999995</v>
          </cell>
          <cell r="L27">
            <v>0.114</v>
          </cell>
          <cell r="M27">
            <v>192.83</v>
          </cell>
          <cell r="N27">
            <v>12.55</v>
          </cell>
          <cell r="O27">
            <v>12.55</v>
          </cell>
          <cell r="P27">
            <v>0.19700000000000001</v>
          </cell>
        </row>
        <row r="28">
          <cell r="J28">
            <v>15.821</v>
          </cell>
          <cell r="K28">
            <v>0.94399999999999995</v>
          </cell>
          <cell r="L28">
            <v>0.114</v>
          </cell>
          <cell r="M28">
            <v>397.12</v>
          </cell>
          <cell r="N28">
            <v>12.55</v>
          </cell>
          <cell r="O28">
            <v>12.55</v>
          </cell>
          <cell r="P28">
            <v>0.19700000000000001</v>
          </cell>
        </row>
        <row r="29">
          <cell r="J29">
            <v>9.9190000000000005</v>
          </cell>
          <cell r="K29">
            <v>0.44900000000000001</v>
          </cell>
          <cell r="L29">
            <v>4.9000000000000002E-2</v>
          </cell>
          <cell r="M29">
            <v>14.78</v>
          </cell>
          <cell r="N29">
            <v>10.91</v>
          </cell>
          <cell r="O29">
            <v>10.91</v>
          </cell>
          <cell r="P29">
            <v>0.107</v>
          </cell>
        </row>
        <row r="30">
          <cell r="J30">
            <v>9.9190000000000005</v>
          </cell>
          <cell r="K30">
            <v>0.44900000000000001</v>
          </cell>
          <cell r="L30">
            <v>4.9000000000000002E-2</v>
          </cell>
          <cell r="M30">
            <v>78.459999999999994</v>
          </cell>
          <cell r="N30">
            <v>10.91</v>
          </cell>
          <cell r="O30">
            <v>10.91</v>
          </cell>
          <cell r="P30">
            <v>0.107</v>
          </cell>
        </row>
        <row r="31">
          <cell r="J31">
            <v>9.9190000000000005</v>
          </cell>
          <cell r="K31">
            <v>0.44900000000000001</v>
          </cell>
          <cell r="L31">
            <v>4.9000000000000002E-2</v>
          </cell>
          <cell r="M31">
            <v>127.66</v>
          </cell>
          <cell r="N31">
            <v>10.91</v>
          </cell>
          <cell r="O31">
            <v>10.91</v>
          </cell>
          <cell r="P31">
            <v>0.107</v>
          </cell>
        </row>
        <row r="32">
          <cell r="J32">
            <v>9.9190000000000005</v>
          </cell>
          <cell r="K32">
            <v>0.44900000000000001</v>
          </cell>
          <cell r="L32">
            <v>4.9000000000000002E-2</v>
          </cell>
          <cell r="M32">
            <v>188.67</v>
          </cell>
          <cell r="N32">
            <v>10.91</v>
          </cell>
          <cell r="O32">
            <v>10.91</v>
          </cell>
          <cell r="P32">
            <v>0.107</v>
          </cell>
        </row>
        <row r="33">
          <cell r="J33">
            <v>9.9190000000000005</v>
          </cell>
          <cell r="K33">
            <v>0.44900000000000001</v>
          </cell>
          <cell r="L33">
            <v>4.9000000000000002E-2</v>
          </cell>
          <cell r="M33">
            <v>392.96</v>
          </cell>
          <cell r="N33">
            <v>10.91</v>
          </cell>
          <cell r="O33">
            <v>10.91</v>
          </cell>
          <cell r="P33">
            <v>0.107</v>
          </cell>
        </row>
        <row r="34">
          <cell r="J34">
            <v>7.32</v>
          </cell>
          <cell r="K34">
            <v>0.26700000000000002</v>
          </cell>
          <cell r="L34">
            <v>2.5999999999999999E-2</v>
          </cell>
          <cell r="M34">
            <v>136.47999999999999</v>
          </cell>
          <cell r="N34">
            <v>10.5</v>
          </cell>
          <cell r="O34">
            <v>10.5</v>
          </cell>
          <cell r="P34">
            <v>7.2999999999999995E-2</v>
          </cell>
        </row>
        <row r="35">
          <cell r="J35">
            <v>7.32</v>
          </cell>
          <cell r="K35">
            <v>0.26700000000000002</v>
          </cell>
          <cell r="L35">
            <v>2.5999999999999999E-2</v>
          </cell>
          <cell r="M35">
            <v>499.46</v>
          </cell>
          <cell r="N35">
            <v>10.5</v>
          </cell>
          <cell r="O35">
            <v>10.5</v>
          </cell>
          <cell r="P35">
            <v>7.2999999999999995E-2</v>
          </cell>
        </row>
        <row r="36">
          <cell r="J36">
            <v>7.32</v>
          </cell>
          <cell r="K36">
            <v>0.26700000000000002</v>
          </cell>
          <cell r="L36">
            <v>2.5999999999999999E-2</v>
          </cell>
          <cell r="M36">
            <v>1048.02</v>
          </cell>
          <cell r="N36">
            <v>10.5</v>
          </cell>
          <cell r="O36">
            <v>10.5</v>
          </cell>
          <cell r="P36">
            <v>7.2999999999999995E-2</v>
          </cell>
        </row>
        <row r="37">
          <cell r="J37">
            <v>7.32</v>
          </cell>
          <cell r="K37">
            <v>0.26700000000000002</v>
          </cell>
          <cell r="L37">
            <v>2.5999999999999999E-2</v>
          </cell>
          <cell r="M37">
            <v>2126.37</v>
          </cell>
          <cell r="N37">
            <v>10.5</v>
          </cell>
          <cell r="O37">
            <v>10.5</v>
          </cell>
          <cell r="P37">
            <v>7.2999999999999995E-2</v>
          </cell>
        </row>
        <row r="38">
          <cell r="J38">
            <v>7.32</v>
          </cell>
          <cell r="K38">
            <v>0.26700000000000002</v>
          </cell>
          <cell r="L38">
            <v>2.5999999999999999E-2</v>
          </cell>
          <cell r="M38">
            <v>5077.43</v>
          </cell>
          <cell r="N38">
            <v>10.5</v>
          </cell>
          <cell r="O38">
            <v>10.5</v>
          </cell>
          <cell r="P38">
            <v>7.2999999999999995E-2</v>
          </cell>
        </row>
        <row r="39">
          <cell r="J39">
            <v>71.59</v>
          </cell>
          <cell r="K39">
            <v>3.6150000000000002</v>
          </cell>
          <cell r="L39">
            <v>1.7989999999999999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J40">
            <v>-16</v>
          </cell>
          <cell r="K40">
            <v>-1.048</v>
          </cell>
          <cell r="L40">
            <v>-0.13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J41">
            <v>-13.632</v>
          </cell>
          <cell r="K41">
            <v>-0.84399999999999997</v>
          </cell>
          <cell r="L41">
            <v>-0.10299999999999999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J42">
            <v>-16</v>
          </cell>
          <cell r="K42">
            <v>-1.048</v>
          </cell>
          <cell r="L42">
            <v>-0.13</v>
          </cell>
          <cell r="M42">
            <v>0</v>
          </cell>
          <cell r="N42">
            <v>0</v>
          </cell>
          <cell r="O42">
            <v>0</v>
          </cell>
          <cell r="P42">
            <v>0.245</v>
          </cell>
        </row>
        <row r="43">
          <cell r="J43">
            <v>-16</v>
          </cell>
          <cell r="K43">
            <v>-1.048</v>
          </cell>
          <cell r="L43">
            <v>-0.13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J44">
            <v>-13.632</v>
          </cell>
          <cell r="K44">
            <v>-0.84399999999999997</v>
          </cell>
          <cell r="L44">
            <v>-0.10299999999999999</v>
          </cell>
          <cell r="M44">
            <v>0</v>
          </cell>
          <cell r="N44">
            <v>0</v>
          </cell>
          <cell r="O44">
            <v>0</v>
          </cell>
          <cell r="P44">
            <v>0.17499999999999999</v>
          </cell>
        </row>
        <row r="45">
          <cell r="J45">
            <v>-13.632</v>
          </cell>
          <cell r="K45">
            <v>-0.84399999999999997</v>
          </cell>
          <cell r="L45">
            <v>-0.10299999999999999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J46">
            <v>-8.3170000000000002</v>
          </cell>
          <cell r="K46">
            <v>-0.377</v>
          </cell>
          <cell r="L46">
            <v>-4.1000000000000002E-2</v>
          </cell>
          <cell r="M46">
            <v>85.41</v>
          </cell>
          <cell r="N46">
            <v>0</v>
          </cell>
          <cell r="O46">
            <v>0</v>
          </cell>
          <cell r="P46">
            <v>0.14699999999999999</v>
          </cell>
        </row>
        <row r="47">
          <cell r="J47">
            <v>-8.3170000000000002</v>
          </cell>
          <cell r="K47">
            <v>-0.377</v>
          </cell>
          <cell r="L47">
            <v>-4.1000000000000002E-2</v>
          </cell>
          <cell r="M47">
            <v>85.41</v>
          </cell>
          <cell r="N47">
            <v>0</v>
          </cell>
          <cell r="O47">
            <v>0</v>
          </cell>
          <cell r="P47">
            <v>0</v>
          </cell>
        </row>
      </sheetData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EB"/>
      <sheetName val="MIDE"/>
      <sheetName val="SWAE"/>
      <sheetName val="SWEB"/>
      <sheetName val="Sheet1"/>
      <sheetName val="Allowed Revenue Forecast"/>
      <sheetName val="Process"/>
    </sheetNames>
    <sheetDataSet>
      <sheetData sheetId="0">
        <row r="4">
          <cell r="J4">
            <v>450762256.0480935</v>
          </cell>
        </row>
      </sheetData>
      <sheetData sheetId="1">
        <row r="4">
          <cell r="J4">
            <v>459100324.73534584</v>
          </cell>
        </row>
      </sheetData>
      <sheetData sheetId="2">
        <row r="4">
          <cell r="J4">
            <v>218595222.93392825</v>
          </cell>
        </row>
      </sheetData>
      <sheetData sheetId="3">
        <row r="4">
          <cell r="J4">
            <v>311673868.01494139</v>
          </cell>
          <cell r="K4">
            <v>313183924.30702156</v>
          </cell>
          <cell r="L4">
            <v>321493303.39263177</v>
          </cell>
          <cell r="M4">
            <v>327130570.38697851</v>
          </cell>
          <cell r="N4">
            <v>329779882.37745911</v>
          </cell>
        </row>
        <row r="5">
          <cell r="J5">
            <v>127780.83668396574</v>
          </cell>
          <cell r="K5">
            <v>132858.02647414099</v>
          </cell>
          <cell r="L5">
            <v>138354.38736896668</v>
          </cell>
          <cell r="M5">
            <v>144089.20035633969</v>
          </cell>
          <cell r="N5">
            <v>150078.71527966455</v>
          </cell>
        </row>
        <row r="6">
          <cell r="J6">
            <v>9219417.197130885</v>
          </cell>
          <cell r="K6">
            <v>26290354.782476854</v>
          </cell>
          <cell r="L6">
            <v>0</v>
          </cell>
          <cell r="M6">
            <v>0</v>
          </cell>
          <cell r="N6">
            <v>0</v>
          </cell>
        </row>
        <row r="7">
          <cell r="J7">
            <v>1.2806226704273584</v>
          </cell>
          <cell r="K7">
            <v>1.3178657700971899</v>
          </cell>
          <cell r="L7">
            <v>1.3403394556854997</v>
          </cell>
          <cell r="M7">
            <v>1.3610096096442998</v>
          </cell>
          <cell r="N7">
            <v>1.3854558618591482</v>
          </cell>
        </row>
        <row r="11">
          <cell r="J11">
            <v>769119.39231657155</v>
          </cell>
          <cell r="K11">
            <v>632419.03402068431</v>
          </cell>
          <cell r="L11">
            <v>0</v>
          </cell>
          <cell r="M11">
            <v>0</v>
          </cell>
          <cell r="N11">
            <v>0</v>
          </cell>
        </row>
        <row r="12">
          <cell r="J12">
            <v>-7023222.058133739</v>
          </cell>
          <cell r="K12">
            <v>-10915215.660019126</v>
          </cell>
          <cell r="L12">
            <v>0</v>
          </cell>
          <cell r="M12">
            <v>0</v>
          </cell>
          <cell r="N12">
            <v>0</v>
          </cell>
        </row>
        <row r="13">
          <cell r="J13">
            <v>-7612284.8186526485</v>
          </cell>
          <cell r="K13">
            <v>-8584627.2144078985</v>
          </cell>
          <cell r="L13">
            <v>0</v>
          </cell>
          <cell r="M13">
            <v>0</v>
          </cell>
          <cell r="N13">
            <v>0</v>
          </cell>
        </row>
        <row r="14">
          <cell r="J14">
            <v>4214698.6291123917</v>
          </cell>
          <cell r="K14">
            <v>4471575.7672999464</v>
          </cell>
          <cell r="L14">
            <v>2206709.9078508918</v>
          </cell>
          <cell r="M14">
            <v>2230680.9419059926</v>
          </cell>
          <cell r="N14">
            <v>2282734.057806157</v>
          </cell>
        </row>
        <row r="15">
          <cell r="J15">
            <v>313347.04886584543</v>
          </cell>
          <cell r="K15">
            <v>265602.31217443786</v>
          </cell>
          <cell r="L15">
            <v>0</v>
          </cell>
          <cell r="M15">
            <v>0</v>
          </cell>
          <cell r="N15">
            <v>0</v>
          </cell>
        </row>
        <row r="16">
          <cell r="J16">
            <v>47550.22344465433</v>
          </cell>
          <cell r="K16">
            <v>43169.197771487481</v>
          </cell>
          <cell r="L16">
            <v>0</v>
          </cell>
          <cell r="M16">
            <v>0</v>
          </cell>
          <cell r="N16">
            <v>0</v>
          </cell>
        </row>
        <row r="17">
          <cell r="J17">
            <v>777631.00003322086</v>
          </cell>
          <cell r="K17">
            <v>1364509.8991658017</v>
          </cell>
          <cell r="L17">
            <v>0</v>
          </cell>
          <cell r="M17">
            <v>0</v>
          </cell>
          <cell r="N17">
            <v>0</v>
          </cell>
        </row>
        <row r="18">
          <cell r="J18">
            <v>1866484.2674591765</v>
          </cell>
          <cell r="K18">
            <v>4598059.0510644391</v>
          </cell>
          <cell r="L18">
            <v>-24290.81381992366</v>
          </cell>
          <cell r="M18">
            <v>0</v>
          </cell>
          <cell r="N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3">
          <cell r="J23">
            <v>3249573.6225667009</v>
          </cell>
          <cell r="K23">
            <v>4841744.4228738807</v>
          </cell>
          <cell r="L23">
            <v>0</v>
          </cell>
          <cell r="M23">
            <v>0</v>
          </cell>
          <cell r="N23">
            <v>0</v>
          </cell>
        </row>
        <row r="24">
          <cell r="J24">
            <v>7424824.7031052355</v>
          </cell>
          <cell r="K24">
            <v>5017940.1054030387</v>
          </cell>
          <cell r="L24">
            <v>0</v>
          </cell>
          <cell r="M24">
            <v>0</v>
          </cell>
          <cell r="N24">
            <v>0</v>
          </cell>
        </row>
        <row r="26">
          <cell r="J26">
            <v>809709.79711911734</v>
          </cell>
          <cell r="K26">
            <v>851402.50121313229</v>
          </cell>
          <cell r="L26">
            <v>0</v>
          </cell>
          <cell r="M26">
            <v>0</v>
          </cell>
          <cell r="N26">
            <v>0</v>
          </cell>
        </row>
        <row r="30">
          <cell r="J30">
            <v>16354.029999999999</v>
          </cell>
        </row>
        <row r="36">
          <cell r="J36">
            <v>-26750304.050454114</v>
          </cell>
          <cell r="K36">
            <v>14241738.457438707</v>
          </cell>
          <cell r="L36">
            <v>-36163267.072306097</v>
          </cell>
          <cell r="M36">
            <v>-20182737.040766217</v>
          </cell>
          <cell r="N36">
            <v>0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2">
          <cell r="H82">
            <v>5041979.9884207435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H83">
            <v>5941628.8313883953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H83">
            <v>8768137.4602312502</v>
          </cell>
        </row>
        <row r="88">
          <cell r="H88">
            <v>493596897.04489803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">
          <cell r="J16">
            <v>15.164999999999999</v>
          </cell>
        </row>
      </sheetData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H83">
            <v>9682577.9351597391</v>
          </cell>
        </row>
        <row r="88">
          <cell r="H88">
            <v>406506390.65959412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7">
          <cell r="H87">
            <v>412459496.8321017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H83">
            <v>5941628.8313883953</v>
          </cell>
        </row>
        <row r="88">
          <cell r="H88">
            <v>384556236.88758171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serInterface"/>
      <sheetName val="SelectedInputs"/>
      <sheetName val="InputSummary"/>
      <sheetName val="Legacy"/>
      <sheetName val="Totex"/>
      <sheetName val="TIM"/>
      <sheetName val="Depn"/>
      <sheetName val="Return&amp;RAV"/>
      <sheetName val="TaxPools"/>
      <sheetName val="Finance&amp;Tax"/>
      <sheetName val="ReturnAdj"/>
      <sheetName val="Revenue"/>
      <sheetName val="AR"/>
      <sheetName val="Annual Inflation"/>
      <sheetName val="Monthly Inflation"/>
      <sheetName val="Checks"/>
      <sheetName val="ENWL"/>
      <sheetName val="NPgN"/>
      <sheetName val="NPgY"/>
      <sheetName val="WMID"/>
      <sheetName val="EMID"/>
      <sheetName val="SWALES"/>
      <sheetName val="SWEST"/>
      <sheetName val="LPN"/>
      <sheetName val="SPN"/>
      <sheetName val="EPN"/>
      <sheetName val="SPD"/>
      <sheetName val="SPMW"/>
      <sheetName val="SSEH"/>
      <sheetName val="SSES"/>
    </sheetNames>
    <sheetDataSet>
      <sheetData sheetId="0"/>
      <sheetData sheetId="1"/>
      <sheetData sheetId="2"/>
      <sheetData sheetId="3">
        <row r="61">
          <cell r="AR61">
            <v>17.984085169260702</v>
          </cell>
          <cell r="AS61">
            <v>27.628929394168772</v>
          </cell>
          <cell r="AT61">
            <v>28.823278830773361</v>
          </cell>
          <cell r="AU61">
            <v>16.378231280279138</v>
          </cell>
          <cell r="AV61">
            <v>10.820511779607095</v>
          </cell>
        </row>
        <row r="62">
          <cell r="AR62">
            <v>70.743279139221173</v>
          </cell>
          <cell r="AS62">
            <v>79.014547932023916</v>
          </cell>
          <cell r="AT62">
            <v>88.341094831603527</v>
          </cell>
          <cell r="AU62">
            <v>86.161028238616964</v>
          </cell>
          <cell r="AV62">
            <v>79.839851400448651</v>
          </cell>
        </row>
        <row r="63">
          <cell r="AR63">
            <v>15.757204539166256</v>
          </cell>
          <cell r="AS63">
            <v>38.737321746285808</v>
          </cell>
          <cell r="AT63">
            <v>38.31127063501269</v>
          </cell>
          <cell r="AU63">
            <v>19.777346342490471</v>
          </cell>
          <cell r="AV63">
            <v>16.810982422494654</v>
          </cell>
        </row>
        <row r="64">
          <cell r="AR64">
            <v>29.403938720712084</v>
          </cell>
          <cell r="AS64">
            <v>24.478819439376512</v>
          </cell>
          <cell r="AT64">
            <v>24.214687230533624</v>
          </cell>
          <cell r="AU64">
            <v>24.158302834102201</v>
          </cell>
          <cell r="AV64">
            <v>24.029584701360296</v>
          </cell>
        </row>
        <row r="65">
          <cell r="AR65">
            <v>12.057500091675017</v>
          </cell>
          <cell r="AS65">
            <v>13.162295874411299</v>
          </cell>
          <cell r="AT65">
            <v>12.770974975266236</v>
          </cell>
          <cell r="AU65">
            <v>12.61789495070976</v>
          </cell>
          <cell r="AV65">
            <v>12.481868371421465</v>
          </cell>
        </row>
        <row r="66">
          <cell r="AR66">
            <v>18.90042695263449</v>
          </cell>
          <cell r="AS66">
            <v>17.607078399094931</v>
          </cell>
          <cell r="AT66">
            <v>17.635316306739384</v>
          </cell>
          <cell r="AU66">
            <v>16.971829953229193</v>
          </cell>
          <cell r="AV66">
            <v>16.427818586802626</v>
          </cell>
        </row>
        <row r="67">
          <cell r="AR67">
            <v>84.7987286498484</v>
          </cell>
          <cell r="AS67">
            <v>88.239202647607684</v>
          </cell>
          <cell r="AT67">
            <v>87.875472730886443</v>
          </cell>
          <cell r="AU67">
            <v>88.104527032754419</v>
          </cell>
          <cell r="AV67">
            <v>87.978104594837134</v>
          </cell>
        </row>
        <row r="72">
          <cell r="AR72">
            <v>2.5009708745287083</v>
          </cell>
          <cell r="AS72">
            <v>12.648342647824272</v>
          </cell>
          <cell r="AT72">
            <v>35.404624111657185</v>
          </cell>
          <cell r="AU72">
            <v>48.646182750889608</v>
          </cell>
          <cell r="AV72">
            <v>44.318078302843446</v>
          </cell>
        </row>
        <row r="73">
          <cell r="AR73">
            <v>1.8764231510856031</v>
          </cell>
          <cell r="AS73">
            <v>1.4328934207132504</v>
          </cell>
          <cell r="AT73">
            <v>1.1367621137658452</v>
          </cell>
          <cell r="AU73">
            <v>0.23881557011887505</v>
          </cell>
          <cell r="AV73">
            <v>0.23881557011887505</v>
          </cell>
        </row>
        <row r="74">
          <cell r="AR74">
            <v>0.95044720995666787</v>
          </cell>
          <cell r="AS74">
            <v>1.6714924277356165</v>
          </cell>
          <cell r="AT74">
            <v>1.0721007445045196</v>
          </cell>
          <cell r="AU74">
            <v>0.94533209411537367</v>
          </cell>
          <cell r="AV74">
            <v>1.2388444346524146</v>
          </cell>
        </row>
        <row r="75">
          <cell r="AR75">
            <v>1.3541741585084419E-4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</row>
        <row r="76">
          <cell r="AR76">
            <v>3.057782784542328E-3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</row>
        <row r="77">
          <cell r="AR77">
            <v>0</v>
          </cell>
          <cell r="AS77">
            <v>0.50604583389236069</v>
          </cell>
          <cell r="AT77">
            <v>0.93882162389580581</v>
          </cell>
          <cell r="AU77">
            <v>1.1637438913023095</v>
          </cell>
          <cell r="AV77">
            <v>1.1804923472677094</v>
          </cell>
        </row>
        <row r="78">
          <cell r="AR78">
            <v>0.35117415000416019</v>
          </cell>
          <cell r="AS78">
            <v>5.7394656563732868E-2</v>
          </cell>
          <cell r="AT78">
            <v>0.16787437798444213</v>
          </cell>
          <cell r="AU78">
            <v>0.16516349231971267</v>
          </cell>
          <cell r="AV78">
            <v>0.17144011034743903</v>
          </cell>
        </row>
        <row r="83">
          <cell r="AR83">
            <v>1.5481531334584167</v>
          </cell>
          <cell r="AS83">
            <v>1.5379118453633793</v>
          </cell>
          <cell r="AT83">
            <v>1.5379118453633793</v>
          </cell>
          <cell r="AU83">
            <v>1.5379118453633793</v>
          </cell>
          <cell r="AV83">
            <v>1.5379118453633793</v>
          </cell>
        </row>
        <row r="84">
          <cell r="AR84">
            <v>18.911815759061863</v>
          </cell>
          <cell r="AS84">
            <v>19.970956243055891</v>
          </cell>
          <cell r="AT84">
            <v>20.151842219976167</v>
          </cell>
          <cell r="AU84">
            <v>20.279875092477624</v>
          </cell>
          <cell r="AV84">
            <v>20.54969776136149</v>
          </cell>
        </row>
        <row r="85">
          <cell r="AR85">
            <v>5.1785745740288149</v>
          </cell>
          <cell r="AS85">
            <v>7.8719057563439909</v>
          </cell>
          <cell r="AT85">
            <v>8.2734565784959884</v>
          </cell>
          <cell r="AU85">
            <v>8.2734565784959848</v>
          </cell>
          <cell r="AV85">
            <v>8.2734565784959866</v>
          </cell>
        </row>
        <row r="86">
          <cell r="AR86">
            <v>1.5364400814046104</v>
          </cell>
          <cell r="AS86">
            <v>1.6377376796476351</v>
          </cell>
          <cell r="AT86">
            <v>1.6463813689065041</v>
          </cell>
          <cell r="AU86">
            <v>1.6389898543691999</v>
          </cell>
          <cell r="AV86">
            <v>1.6476411271182239</v>
          </cell>
        </row>
        <row r="87">
          <cell r="AR87">
            <v>0.15875089883592058</v>
          </cell>
          <cell r="AS87">
            <v>0.43190000000000001</v>
          </cell>
          <cell r="AT87">
            <v>0.58550000000000002</v>
          </cell>
          <cell r="AU87">
            <v>0.4143</v>
          </cell>
          <cell r="AV87">
            <v>0.41820000000000002</v>
          </cell>
        </row>
        <row r="88">
          <cell r="AR88">
            <v>1.8428535231321815E-2</v>
          </cell>
          <cell r="AS88">
            <v>3.6200000000000003E-2</v>
          </cell>
          <cell r="AT88">
            <v>3.6200000000000003E-2</v>
          </cell>
          <cell r="AU88">
            <v>3.6200000000000003E-2</v>
          </cell>
          <cell r="AV88">
            <v>3.6200000000000003E-2</v>
          </cell>
        </row>
        <row r="89">
          <cell r="AR89">
            <v>11.537200098971763</v>
          </cell>
          <cell r="AS89">
            <v>0.36177781223878441</v>
          </cell>
          <cell r="AT89">
            <v>0</v>
          </cell>
          <cell r="AU89">
            <v>0</v>
          </cell>
          <cell r="AV89">
            <v>0</v>
          </cell>
        </row>
        <row r="90">
          <cell r="AR90">
            <v>2.1161580710543273E-2</v>
          </cell>
          <cell r="AS90">
            <v>6.8158594421151769E-2</v>
          </cell>
          <cell r="AT90">
            <v>1.1114937287807588E-4</v>
          </cell>
          <cell r="AU90">
            <v>0</v>
          </cell>
          <cell r="AV90">
            <v>0</v>
          </cell>
        </row>
        <row r="91">
          <cell r="AR91">
            <v>0</v>
          </cell>
          <cell r="AS91">
            <v>0.5</v>
          </cell>
          <cell r="AT91">
            <v>0.5</v>
          </cell>
          <cell r="AU91">
            <v>0.5</v>
          </cell>
          <cell r="AV91">
            <v>0.59999999999999987</v>
          </cell>
        </row>
        <row r="92"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</row>
        <row r="93"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</row>
        <row r="94"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</row>
        <row r="101">
          <cell r="AR101">
            <v>0.24980899999999984</v>
          </cell>
          <cell r="AS101">
            <v>0.26214939896090217</v>
          </cell>
          <cell r="AT101">
            <v>0.27307229058427313</v>
          </cell>
          <cell r="AU101">
            <v>0.28399518220764403</v>
          </cell>
          <cell r="AV101">
            <v>0.29491807383101498</v>
          </cell>
        </row>
        <row r="102">
          <cell r="AR102">
            <v>-0.61958869572773478</v>
          </cell>
          <cell r="AS102">
            <v>-0.47560104795193203</v>
          </cell>
          <cell r="AT102">
            <v>-0.45060104795193201</v>
          </cell>
          <cell r="AU102">
            <v>-0.42560104795193204</v>
          </cell>
          <cell r="AV102">
            <v>-0.40060104795193202</v>
          </cell>
        </row>
        <row r="103">
          <cell r="AR103">
            <v>-2.9412890766662714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</row>
        <row r="104"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</row>
        <row r="105"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</row>
        <row r="106">
          <cell r="AR106">
            <v>1.399</v>
          </cell>
          <cell r="AS106">
            <v>0.39</v>
          </cell>
          <cell r="AT106">
            <v>0.39</v>
          </cell>
          <cell r="AU106">
            <v>0.39</v>
          </cell>
          <cell r="AV106">
            <v>0.39</v>
          </cell>
        </row>
        <row r="107"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</row>
        <row r="108"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</row>
      </sheetData>
      <sheetData sheetId="4"/>
      <sheetData sheetId="5">
        <row r="12">
          <cell r="AR12">
            <v>30.048095065410656</v>
          </cell>
          <cell r="AS12">
            <v>26.97331168727187</v>
          </cell>
          <cell r="AT12">
            <v>28.779158607315626</v>
          </cell>
          <cell r="AU12">
            <v>21.648669184869625</v>
          </cell>
          <cell r="AV12">
            <v>19.45341381747026</v>
          </cell>
        </row>
        <row r="13">
          <cell r="AR13">
            <v>85.216184495796426</v>
          </cell>
          <cell r="AS13">
            <v>85.140727131637561</v>
          </cell>
          <cell r="AT13">
            <v>90.032081924004331</v>
          </cell>
          <cell r="AU13">
            <v>92.00223536478174</v>
          </cell>
          <cell r="AV13">
            <v>87.065884591979909</v>
          </cell>
        </row>
        <row r="14">
          <cell r="AR14">
            <v>27.128641169202957</v>
          </cell>
          <cell r="AS14">
            <v>33.484512195339413</v>
          </cell>
          <cell r="AT14">
            <v>38.318796473681125</v>
          </cell>
          <cell r="AU14">
            <v>24.16530348861879</v>
          </cell>
          <cell r="AV14">
            <v>21.305900711504425</v>
          </cell>
        </row>
        <row r="15">
          <cell r="AR15">
            <v>22.921608197530176</v>
          </cell>
          <cell r="AS15">
            <v>22.810725004787034</v>
          </cell>
          <cell r="AT15">
            <v>22.449292564284665</v>
          </cell>
          <cell r="AU15">
            <v>22.544446081812371</v>
          </cell>
          <cell r="AV15">
            <v>22.095362487250284</v>
          </cell>
        </row>
        <row r="16">
          <cell r="AR16">
            <v>13.945588540052574</v>
          </cell>
          <cell r="AS16">
            <v>13.882586418432309</v>
          </cell>
          <cell r="AT16">
            <v>13.605323794748221</v>
          </cell>
          <cell r="AU16">
            <v>13.553841684388335</v>
          </cell>
          <cell r="AV16">
            <v>13.529786350704512</v>
          </cell>
        </row>
        <row r="17">
          <cell r="AR17">
            <v>15.72251631810664</v>
          </cell>
          <cell r="AS17">
            <v>15.464024495136576</v>
          </cell>
          <cell r="AT17">
            <v>15.33192794349212</v>
          </cell>
          <cell r="AU17">
            <v>15.073987240248716</v>
          </cell>
          <cell r="AV17">
            <v>14.7531793068885</v>
          </cell>
        </row>
        <row r="18">
          <cell r="AR18">
            <v>78.640817105798348</v>
          </cell>
          <cell r="AS18">
            <v>76.428499486887731</v>
          </cell>
          <cell r="AT18">
            <v>73.350900558913395</v>
          </cell>
          <cell r="AU18">
            <v>72.065914442014943</v>
          </cell>
          <cell r="AV18">
            <v>72.406923985575006</v>
          </cell>
        </row>
        <row r="23">
          <cell r="AR23">
            <v>2.9535911323014599</v>
          </cell>
          <cell r="AS23">
            <v>13.06871286680324</v>
          </cell>
          <cell r="AT23">
            <v>36.417450114395393</v>
          </cell>
          <cell r="AU23">
            <v>50.106254007695192</v>
          </cell>
          <cell r="AV23">
            <v>46.06950710851801</v>
          </cell>
        </row>
        <row r="24">
          <cell r="AR24">
            <v>1.6954874919252321</v>
          </cell>
          <cell r="AS24">
            <v>1.5006990716515942</v>
          </cell>
          <cell r="AT24">
            <v>1.2009511795634007</v>
          </cell>
          <cell r="AU24">
            <v>0.27445475738177483</v>
          </cell>
          <cell r="AV24">
            <v>0.29432196218951967</v>
          </cell>
        </row>
        <row r="25">
          <cell r="AR25">
            <v>1.3965957047142237</v>
          </cell>
          <cell r="AS25">
            <v>1.728275082469424</v>
          </cell>
          <cell r="AT25">
            <v>1.1085213261385796</v>
          </cell>
          <cell r="AU25">
            <v>0.97744618869231359</v>
          </cell>
          <cell r="AV25">
            <v>1.2809295046380822</v>
          </cell>
        </row>
        <row r="26">
          <cell r="AR26">
            <v>3.4239664870996694E-2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R29">
            <v>0.34642802374252513</v>
          </cell>
          <cell r="AS29">
            <v>1.432325008945242</v>
          </cell>
          <cell r="AT29">
            <v>4.0636552287565531</v>
          </cell>
          <cell r="AU29">
            <v>5.5218496368025738</v>
          </cell>
          <cell r="AV29">
            <v>5.0561669012774733</v>
          </cell>
        </row>
      </sheetData>
      <sheetData sheetId="6">
        <row r="53">
          <cell r="AR53">
            <v>0.79</v>
          </cell>
          <cell r="AS53">
            <v>0.79</v>
          </cell>
          <cell r="AT53">
            <v>0.79</v>
          </cell>
          <cell r="AU53">
            <v>0.79</v>
          </cell>
          <cell r="AV53">
            <v>0.79</v>
          </cell>
        </row>
        <row r="60">
          <cell r="AR60">
            <v>0.85</v>
          </cell>
          <cell r="AS60">
            <v>0.85</v>
          </cell>
          <cell r="AT60">
            <v>0.85</v>
          </cell>
          <cell r="AU60">
            <v>0.85</v>
          </cell>
          <cell r="AV60">
            <v>0.85</v>
          </cell>
        </row>
      </sheetData>
      <sheetData sheetId="7">
        <row r="29">
          <cell r="AR29">
            <v>80.536592007839971</v>
          </cell>
          <cell r="AS29">
            <v>75.514922372730155</v>
          </cell>
          <cell r="AT29">
            <v>69.709277117809052</v>
          </cell>
          <cell r="AU29">
            <v>64.118675022162904</v>
          </cell>
          <cell r="AV29">
            <v>57.987654326767355</v>
          </cell>
        </row>
        <row r="30">
          <cell r="AR30">
            <v>50.111666976603196</v>
          </cell>
          <cell r="AS30">
            <v>50.111666976603196</v>
          </cell>
          <cell r="AT30">
            <v>50.111666976603196</v>
          </cell>
          <cell r="AU30">
            <v>50.111666976603196</v>
          </cell>
          <cell r="AV30">
            <v>50.111666976603196</v>
          </cell>
        </row>
        <row r="31">
          <cell r="AR31">
            <v>0</v>
          </cell>
          <cell r="AS31">
            <v>4.7074941466091005</v>
          </cell>
          <cell r="AT31">
            <v>9.9713918524708056</v>
          </cell>
          <cell r="AU31">
            <v>15.8309186619074</v>
          </cell>
          <cell r="AV31">
            <v>21.461584961294783</v>
          </cell>
        </row>
      </sheetData>
      <sheetData sheetId="8">
        <row r="12">
          <cell r="AR12">
            <v>3.97335776E-2</v>
          </cell>
          <cell r="AS12">
            <v>4.1370183200000001E-2</v>
          </cell>
          <cell r="AT12">
            <v>4.1450170800000005E-2</v>
          </cell>
          <cell r="AU12">
            <v>4.15681044E-2</v>
          </cell>
          <cell r="AV12">
            <v>4.1755693600000005E-2</v>
          </cell>
        </row>
        <row r="15">
          <cell r="AR15">
            <v>2043.9105117392114</v>
          </cell>
          <cell r="AS15">
            <v>2150.4518250070455</v>
          </cell>
          <cell r="AT15">
            <v>2284.3381954848091</v>
          </cell>
          <cell r="AU15">
            <v>2407.6569182965677</v>
          </cell>
          <cell r="AV15">
            <v>2517.636338812486</v>
          </cell>
        </row>
        <row r="43">
          <cell r="AR43">
            <v>1962.7215341262449</v>
          </cell>
          <cell r="AS43">
            <v>2043.9105117392114</v>
          </cell>
          <cell r="AT43">
            <v>2150.4518250070455</v>
          </cell>
          <cell r="AU43">
            <v>2284.3381954848091</v>
          </cell>
          <cell r="AV43">
            <v>2407.6569182965677</v>
          </cell>
        </row>
      </sheetData>
      <sheetData sheetId="9"/>
      <sheetData sheetId="10"/>
      <sheetData sheetId="11"/>
      <sheetData sheetId="12">
        <row r="13"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AR14">
            <v>4.5746636446319533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R15">
            <v>1.1499999999999999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7">
          <cell r="AR17">
            <v>0.40564641872741769</v>
          </cell>
          <cell r="AS17">
            <v>0.40564641872741769</v>
          </cell>
          <cell r="AT17">
            <v>0.40564641872741769</v>
          </cell>
          <cell r="AU17">
            <v>0.40564641872741769</v>
          </cell>
          <cell r="AV17">
            <v>0.40564641872741769</v>
          </cell>
        </row>
        <row r="18">
          <cell r="AR18">
            <v>3.6388548380491381E-2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20">
          <cell r="AR20">
            <v>5.4983983201851725</v>
          </cell>
          <cell r="AS20">
            <v>4.8212159343555649</v>
          </cell>
          <cell r="AT20">
            <v>2.9742395810332076</v>
          </cell>
          <cell r="AU20">
            <v>6.6005262995665444</v>
          </cell>
          <cell r="AV20">
            <v>7.5072958179206317</v>
          </cell>
        </row>
        <row r="21"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</sheetData>
      <sheetData sheetId="13">
        <row r="16">
          <cell r="AO16">
            <v>1</v>
          </cell>
          <cell r="AP16">
            <v>1.0577620396600564</v>
          </cell>
          <cell r="AQ16">
            <v>1.1939376770538244</v>
          </cell>
          <cell r="AR16">
            <v>1.2806226704273584</v>
          </cell>
          <cell r="AS16">
            <v>1.3178657700971899</v>
          </cell>
          <cell r="AT16">
            <v>1.3403394556854997</v>
          </cell>
          <cell r="AU16">
            <v>1.3610096096442998</v>
          </cell>
          <cell r="AV16">
            <v>1.3854558618591482</v>
          </cell>
        </row>
        <row r="17">
          <cell r="AO17">
            <v>294.16666666666669</v>
          </cell>
          <cell r="AP17">
            <v>311.1583333333333</v>
          </cell>
          <cell r="AQ17">
            <v>351.2166666666667</v>
          </cell>
          <cell r="AR17">
            <v>376.71650221738128</v>
          </cell>
          <cell r="AS17">
            <v>387.67218070359007</v>
          </cell>
          <cell r="AT17">
            <v>394.28318988081787</v>
          </cell>
          <cell r="AU17">
            <v>400.36366017036488</v>
          </cell>
          <cell r="AV17">
            <v>407.55493269689941</v>
          </cell>
        </row>
        <row r="51"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</row>
        <row r="52">
          <cell r="AR52">
            <v>-5.9094564983830171</v>
          </cell>
          <cell r="AS52">
            <v>35.250508685063934</v>
          </cell>
          <cell r="AT52">
            <v>0.16115103043789794</v>
          </cell>
          <cell r="AU52">
            <v>0.1961067863309412</v>
          </cell>
          <cell r="AV52">
            <v>0.20792743582450135</v>
          </cell>
        </row>
        <row r="53">
          <cell r="AR53">
            <v>389.21033665357805</v>
          </cell>
          <cell r="AS53">
            <v>464.38493915984168</v>
          </cell>
          <cell r="AT53">
            <v>397.11475314179597</v>
          </cell>
          <cell r="AU53">
            <v>427.47190059256951</v>
          </cell>
          <cell r="AV53">
            <v>459.38613265670176</v>
          </cell>
        </row>
        <row r="58">
          <cell r="AQ58">
            <v>407.64786269443312</v>
          </cell>
        </row>
        <row r="62">
          <cell r="AQ62">
            <v>413.09147007999997</v>
          </cell>
          <cell r="AR62">
            <v>375.89994164000001</v>
          </cell>
          <cell r="AS62">
            <v>498.52929279587153</v>
          </cell>
          <cell r="AT62">
            <v>416.19988552826158</v>
          </cell>
          <cell r="AU62">
            <v>427.47190059256951</v>
          </cell>
          <cell r="AV62">
            <v>459.38613265670176</v>
          </cell>
        </row>
        <row r="65">
          <cell r="AQ65">
            <v>2.4934999999999999E-2</v>
          </cell>
          <cell r="AR65">
            <v>3.97335776E-2</v>
          </cell>
          <cell r="AS65">
            <v>4.1370183200000001E-2</v>
          </cell>
          <cell r="AT65">
            <v>4.1450170800000005E-2</v>
          </cell>
          <cell r="AU65">
            <v>4.15681044E-2</v>
          </cell>
          <cell r="AV65">
            <v>4.1755693600000005E-2</v>
          </cell>
        </row>
        <row r="66">
          <cell r="AQ66">
            <v>7.2604286672181217E-2</v>
          </cell>
          <cell r="AR66">
            <v>2.9082024338522139E-2</v>
          </cell>
          <cell r="AS66">
            <v>1.705309151982326E-2</v>
          </cell>
          <cell r="AT66">
            <v>1.5421581354723601E-2</v>
          </cell>
          <cell r="AU66">
            <v>1.7961851291584452E-2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tabSelected="1" topLeftCell="A43" zoomScale="80" zoomScaleNormal="80" workbookViewId="0">
      <selection activeCell="F68" sqref="F68"/>
    </sheetView>
  </sheetViews>
  <sheetFormatPr defaultRowHeight="15" x14ac:dyDescent="0.25"/>
  <cols>
    <col min="1" max="1" width="52.5703125" customWidth="1"/>
    <col min="2" max="2" width="10.28515625" customWidth="1"/>
    <col min="4" max="4" width="10.140625" hidden="1" customWidth="1"/>
    <col min="5" max="5" width="14.28515625" bestFit="1" customWidth="1"/>
    <col min="6" max="10" width="11.140625" customWidth="1"/>
    <col min="11" max="11" width="48.42578125" customWidth="1"/>
    <col min="12" max="12" width="6.42578125" bestFit="1" customWidth="1"/>
    <col min="13" max="13" width="10.42578125" customWidth="1"/>
    <col min="14" max="21" width="11.5703125" customWidth="1"/>
  </cols>
  <sheetData>
    <row r="1" spans="1:20" ht="15.75" x14ac:dyDescent="0.25">
      <c r="A1" s="159" t="s">
        <v>200</v>
      </c>
      <c r="B1" s="160" t="str">
        <f>'Table 1 ED2 Detailed'!A1</f>
        <v>NGED South West</v>
      </c>
      <c r="C1" s="160"/>
      <c r="D1" s="160"/>
      <c r="E1" s="160"/>
      <c r="F1" s="160"/>
      <c r="G1" s="160"/>
      <c r="H1" s="160"/>
      <c r="I1" s="160"/>
      <c r="J1" s="160"/>
      <c r="K1" s="160"/>
    </row>
    <row r="2" spans="1:20" ht="15.75" x14ac:dyDescent="0.25">
      <c r="A2" s="159" t="s">
        <v>201</v>
      </c>
      <c r="B2" s="161">
        <f>'Table 1 ED2 Detailed'!B1</f>
        <v>45505</v>
      </c>
      <c r="C2" s="160"/>
      <c r="D2" s="162"/>
      <c r="E2" s="162"/>
      <c r="F2" s="162"/>
      <c r="G2" s="162"/>
      <c r="H2" s="162"/>
      <c r="I2" s="162"/>
      <c r="J2" s="162"/>
      <c r="K2" s="160"/>
    </row>
    <row r="3" spans="1:20" ht="15.75" x14ac:dyDescent="0.25">
      <c r="A3" s="159" t="s">
        <v>202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20" ht="31.5" x14ac:dyDescent="0.25">
      <c r="A4" s="163" t="s">
        <v>203</v>
      </c>
      <c r="B4" s="164" t="s">
        <v>204</v>
      </c>
      <c r="C4" s="164" t="s">
        <v>205</v>
      </c>
      <c r="D4" s="165"/>
      <c r="E4" s="165"/>
      <c r="F4" s="165"/>
      <c r="G4" s="165"/>
      <c r="H4" s="165"/>
      <c r="I4" s="165"/>
      <c r="J4" s="165"/>
      <c r="K4" s="166" t="s">
        <v>206</v>
      </c>
    </row>
    <row r="5" spans="1:20" ht="15.75" x14ac:dyDescent="0.25">
      <c r="A5" s="164" t="s">
        <v>207</v>
      </c>
      <c r="B5" s="164"/>
      <c r="C5" s="164"/>
      <c r="E5" s="167" t="s">
        <v>208</v>
      </c>
      <c r="F5" s="167" t="s">
        <v>209</v>
      </c>
      <c r="G5" s="163" t="s">
        <v>210</v>
      </c>
      <c r="H5" s="163" t="s">
        <v>211</v>
      </c>
      <c r="I5" s="163" t="s">
        <v>212</v>
      </c>
      <c r="J5" s="163" t="s">
        <v>213</v>
      </c>
    </row>
    <row r="6" spans="1:20" ht="15.75" x14ac:dyDescent="0.25">
      <c r="A6" s="164"/>
      <c r="B6" s="164"/>
      <c r="C6" s="164"/>
      <c r="D6" s="168" t="s">
        <v>0</v>
      </c>
      <c r="E6" s="168" t="s">
        <v>1</v>
      </c>
      <c r="F6" s="168" t="s">
        <v>2</v>
      </c>
      <c r="G6" s="168" t="s">
        <v>3</v>
      </c>
      <c r="H6" s="168" t="s">
        <v>4</v>
      </c>
      <c r="I6" s="168" t="s">
        <v>70</v>
      </c>
      <c r="J6" s="168" t="s">
        <v>353</v>
      </c>
      <c r="K6" s="166"/>
    </row>
    <row r="7" spans="1:20" ht="30" x14ac:dyDescent="0.25">
      <c r="A7" s="169" t="s">
        <v>214</v>
      </c>
      <c r="B7" s="170" t="s">
        <v>215</v>
      </c>
      <c r="C7" s="169" t="s">
        <v>216</v>
      </c>
      <c r="D7" s="171">
        <f>'[1]R6 Base Demand Revenue'!N6</f>
        <v>311.7</v>
      </c>
      <c r="E7" s="171">
        <f>[2]SWEB!J4/1000000</f>
        <v>311.67386801494138</v>
      </c>
      <c r="F7" s="171">
        <f>[2]SWEB!K4/1000000</f>
        <v>313.18392430702158</v>
      </c>
      <c r="G7" s="171">
        <f>[2]SWEB!L4/1000000</f>
        <v>321.49330339263179</v>
      </c>
      <c r="H7" s="171">
        <f>[2]SWEB!M4/1000000</f>
        <v>327.13057038697849</v>
      </c>
      <c r="I7" s="171">
        <f>[2]SWEB!N4/1000000</f>
        <v>329.7798823774591</v>
      </c>
      <c r="J7" s="171">
        <f>I7</f>
        <v>329.7798823774591</v>
      </c>
      <c r="K7" s="165" t="s">
        <v>217</v>
      </c>
      <c r="L7" s="172"/>
      <c r="M7" s="172"/>
      <c r="N7" s="172"/>
      <c r="O7" s="172"/>
      <c r="P7" s="172"/>
    </row>
    <row r="8" spans="1:20" ht="15.75" x14ac:dyDescent="0.25">
      <c r="A8" s="169" t="s">
        <v>218</v>
      </c>
      <c r="B8" s="169" t="s">
        <v>219</v>
      </c>
      <c r="C8" s="169" t="s">
        <v>216</v>
      </c>
      <c r="D8" s="171">
        <f>'[1]R6 Base Demand Revenue'!N7</f>
        <v>-46.2</v>
      </c>
      <c r="E8" s="171">
        <f>[2]SWEB!J5/1000000</f>
        <v>0.12778083668396573</v>
      </c>
      <c r="F8" s="171">
        <f>[2]SWEB!K5/1000000</f>
        <v>0.13285802647414099</v>
      </c>
      <c r="G8" s="171">
        <f>[2]SWEB!L5/1000000</f>
        <v>0.13835438736896669</v>
      </c>
      <c r="H8" s="171">
        <f>[2]SWEB!M5/1000000</f>
        <v>0.14408920035633968</v>
      </c>
      <c r="I8" s="171">
        <f>[2]SWEB!N5/1000000</f>
        <v>0.15007871527966454</v>
      </c>
      <c r="J8" s="171">
        <v>0</v>
      </c>
      <c r="K8" s="165" t="s">
        <v>220</v>
      </c>
      <c r="L8" s="172"/>
      <c r="M8" s="172"/>
      <c r="N8" s="172"/>
      <c r="O8" s="172"/>
      <c r="P8" s="172"/>
    </row>
    <row r="9" spans="1:20" ht="15.75" x14ac:dyDescent="0.25">
      <c r="A9" s="169" t="s">
        <v>221</v>
      </c>
      <c r="B9" s="169" t="s">
        <v>222</v>
      </c>
      <c r="C9" s="169" t="s">
        <v>216</v>
      </c>
      <c r="D9" s="171">
        <f>'[1]R6 Base Demand Revenue'!N8</f>
        <v>-3.7499735784319905</v>
      </c>
      <c r="E9" s="171">
        <f>[2]SWEB!J6/1000000</f>
        <v>9.2194171971308858</v>
      </c>
      <c r="F9" s="171">
        <f>[2]SWEB!K6/1000000</f>
        <v>26.290354782476854</v>
      </c>
      <c r="G9" s="171">
        <f>[2]SWEB!L6/1000000</f>
        <v>0</v>
      </c>
      <c r="H9" s="171">
        <f>[2]SWEB!M6/1000000</f>
        <v>0</v>
      </c>
      <c r="I9" s="171">
        <f>[2]SWEB!N6/1000000</f>
        <v>0</v>
      </c>
      <c r="J9" s="171">
        <v>0</v>
      </c>
      <c r="K9" s="165" t="s">
        <v>223</v>
      </c>
      <c r="L9" s="172"/>
      <c r="M9" s="172"/>
      <c r="N9" s="172"/>
      <c r="O9" s="172"/>
      <c r="P9" s="172"/>
    </row>
    <row r="10" spans="1:20" ht="30" x14ac:dyDescent="0.25">
      <c r="A10" s="169" t="s">
        <v>224</v>
      </c>
      <c r="B10" s="169" t="s">
        <v>225</v>
      </c>
      <c r="C10" s="169" t="s">
        <v>216</v>
      </c>
      <c r="D10" s="173">
        <f>'[1]R6 Base Demand Revenue'!N9</f>
        <v>1.321</v>
      </c>
      <c r="E10" s="173">
        <f>[2]SWEB!J$7</f>
        <v>1.2806226704273584</v>
      </c>
      <c r="F10" s="173">
        <f>[2]SWEB!K$7</f>
        <v>1.3178657700971899</v>
      </c>
      <c r="G10" s="173">
        <f>[2]SWEB!L$7</f>
        <v>1.3403394556854997</v>
      </c>
      <c r="H10" s="173">
        <f>[2]SWEB!M$7</f>
        <v>1.3610096096442998</v>
      </c>
      <c r="I10" s="173">
        <f>[2]SWEB!N$7</f>
        <v>1.3854558618591482</v>
      </c>
      <c r="J10" s="173">
        <f>I10*1.02</f>
        <v>1.4131649790963312</v>
      </c>
      <c r="K10" s="165" t="s">
        <v>226</v>
      </c>
      <c r="L10" s="174"/>
      <c r="M10" s="174"/>
      <c r="N10" s="174"/>
      <c r="O10" s="174"/>
      <c r="P10" s="174"/>
    </row>
    <row r="11" spans="1:20" ht="31.5" x14ac:dyDescent="0.25">
      <c r="A11" s="175" t="s">
        <v>227</v>
      </c>
      <c r="B11" s="176" t="s">
        <v>228</v>
      </c>
      <c r="C11" s="175" t="s">
        <v>229</v>
      </c>
      <c r="D11" s="177">
        <f t="shared" ref="D11:H11" si="0">(D7+D8+D9)*D10</f>
        <v>345.77178490289134</v>
      </c>
      <c r="E11" s="177">
        <f t="shared" si="0"/>
        <v>411.10685486679557</v>
      </c>
      <c r="F11" s="177">
        <f t="shared" si="0"/>
        <v>447.55662128584316</v>
      </c>
      <c r="G11" s="177">
        <f t="shared" si="0"/>
        <v>431.09560112007114</v>
      </c>
      <c r="H11" s="177">
        <f t="shared" si="0"/>
        <v>445.42395669142968</v>
      </c>
      <c r="I11" s="177">
        <f t="shared" ref="I11:J11" si="1">(I7+I8+I9)*I10</f>
        <v>457.10339859889564</v>
      </c>
      <c r="J11" s="177">
        <f t="shared" si="1"/>
        <v>466.03338058633256</v>
      </c>
      <c r="K11" s="178" t="s">
        <v>230</v>
      </c>
      <c r="L11" s="172"/>
      <c r="M11" s="179"/>
      <c r="N11" s="179"/>
      <c r="O11" s="179"/>
      <c r="P11" s="179"/>
      <c r="Q11" s="179"/>
      <c r="R11" s="179"/>
      <c r="S11" s="179"/>
      <c r="T11" s="179"/>
    </row>
    <row r="12" spans="1:20" ht="15.75" x14ac:dyDescent="0.25">
      <c r="A12" s="169" t="s">
        <v>231</v>
      </c>
      <c r="B12" s="170" t="s">
        <v>232</v>
      </c>
      <c r="C12" s="169" t="s">
        <v>233</v>
      </c>
      <c r="D12" s="171">
        <f>'[1]R8 Pass-Through Items'!N6</f>
        <v>0.32547147689019978</v>
      </c>
      <c r="E12" s="171">
        <f>[2]SWEB!J11/1000000</f>
        <v>0.76911939231657156</v>
      </c>
      <c r="F12" s="171">
        <f>[2]SWEB!K11/1000000</f>
        <v>0.63241903402068433</v>
      </c>
      <c r="G12" s="171">
        <f>[2]SWEB!L11/1000000</f>
        <v>0</v>
      </c>
      <c r="H12" s="171">
        <f>[2]SWEB!M11/1000000</f>
        <v>0</v>
      </c>
      <c r="I12" s="171">
        <f>[2]SWEB!N11/1000000</f>
        <v>0</v>
      </c>
      <c r="J12" s="171">
        <v>0</v>
      </c>
      <c r="K12" s="165" t="s">
        <v>234</v>
      </c>
      <c r="L12" s="172"/>
      <c r="M12" s="172"/>
      <c r="N12" s="172"/>
      <c r="O12" s="172"/>
      <c r="P12" s="172"/>
    </row>
    <row r="13" spans="1:20" ht="15.75" x14ac:dyDescent="0.25">
      <c r="A13" s="169" t="s">
        <v>235</v>
      </c>
      <c r="B13" s="170" t="s">
        <v>236</v>
      </c>
      <c r="C13" s="169" t="s">
        <v>233</v>
      </c>
      <c r="D13" s="171">
        <f>'[1]R8 Pass-Through Items'!N7</f>
        <v>-5.3207697213973635</v>
      </c>
      <c r="E13" s="171">
        <f>[2]SWEB!J12/1000000</f>
        <v>-7.0232220581337392</v>
      </c>
      <c r="F13" s="171">
        <f>[2]SWEB!K12/1000000</f>
        <v>-10.915215660019125</v>
      </c>
      <c r="G13" s="171">
        <f>[2]SWEB!L12/1000000</f>
        <v>0</v>
      </c>
      <c r="H13" s="171">
        <f>[2]SWEB!M12/1000000</f>
        <v>0</v>
      </c>
      <c r="I13" s="171">
        <f>[2]SWEB!N12/1000000</f>
        <v>0</v>
      </c>
      <c r="J13" s="171">
        <v>0</v>
      </c>
      <c r="K13" s="165" t="s">
        <v>234</v>
      </c>
      <c r="L13" s="172"/>
      <c r="M13" s="172"/>
      <c r="N13" s="172"/>
      <c r="O13" s="172"/>
      <c r="P13" s="172"/>
    </row>
    <row r="14" spans="1:20" ht="31.5" x14ac:dyDescent="0.25">
      <c r="A14" s="169" t="s">
        <v>237</v>
      </c>
      <c r="B14" s="170" t="s">
        <v>238</v>
      </c>
      <c r="C14" s="169" t="s">
        <v>233</v>
      </c>
      <c r="D14" s="171">
        <f>'[1]R8 Pass-Through Items'!N8</f>
        <v>-4.1991945441894112</v>
      </c>
      <c r="E14" s="171">
        <f>[2]SWEB!J13/1000000</f>
        <v>-7.6122848186526486</v>
      </c>
      <c r="F14" s="171">
        <f>[2]SWEB!K13/1000000</f>
        <v>-8.5846272144078988</v>
      </c>
      <c r="G14" s="171">
        <f>[2]SWEB!L13/1000000</f>
        <v>0</v>
      </c>
      <c r="H14" s="171">
        <f>[2]SWEB!M13/1000000</f>
        <v>0</v>
      </c>
      <c r="I14" s="171">
        <f>[2]SWEB!N13/1000000</f>
        <v>0</v>
      </c>
      <c r="J14" s="171">
        <v>0</v>
      </c>
      <c r="K14" s="165" t="s">
        <v>234</v>
      </c>
      <c r="L14" s="172"/>
      <c r="M14" s="172"/>
      <c r="N14" s="172"/>
      <c r="O14" s="172"/>
      <c r="P14" s="172"/>
    </row>
    <row r="15" spans="1:20" ht="31.5" x14ac:dyDescent="0.25">
      <c r="A15" s="169" t="s">
        <v>239</v>
      </c>
      <c r="B15" s="169" t="s">
        <v>240</v>
      </c>
      <c r="C15" s="169" t="s">
        <v>233</v>
      </c>
      <c r="D15" s="171">
        <f>'[1]R8 Pass-Through Items'!N10</f>
        <v>1.414596600550807</v>
      </c>
      <c r="E15" s="171">
        <f>[2]SWEB!J14/1000000</f>
        <v>4.2146986291123918</v>
      </c>
      <c r="F15" s="171">
        <f>[2]SWEB!K14/1000000</f>
        <v>4.4715757672999468</v>
      </c>
      <c r="G15" s="171">
        <f>[2]SWEB!L14/1000000</f>
        <v>2.2067099078508918</v>
      </c>
      <c r="H15" s="171">
        <f>[2]SWEB!M14/1000000</f>
        <v>2.2306809419059928</v>
      </c>
      <c r="I15" s="171">
        <f>[2]SWEB!N14/1000000</f>
        <v>2.2827340578061572</v>
      </c>
      <c r="J15" s="171">
        <v>0</v>
      </c>
      <c r="K15" s="165" t="s">
        <v>234</v>
      </c>
      <c r="L15" s="172"/>
      <c r="M15" s="172"/>
      <c r="N15" s="172"/>
      <c r="O15" s="172"/>
      <c r="P15" s="172"/>
    </row>
    <row r="16" spans="1:20" ht="15.75" x14ac:dyDescent="0.25">
      <c r="A16" s="169" t="s">
        <v>241</v>
      </c>
      <c r="B16" s="169" t="s">
        <v>242</v>
      </c>
      <c r="C16" s="169" t="s">
        <v>233</v>
      </c>
      <c r="D16" s="171">
        <f>'[1]R8 Pass-Through Items'!N11</f>
        <v>-0.38468996247832832</v>
      </c>
      <c r="E16" s="171">
        <f>[2]SWEB!J15/1000000</f>
        <v>0.31334704886584541</v>
      </c>
      <c r="F16" s="171">
        <f>[2]SWEB!K15/1000000</f>
        <v>0.26560231217443786</v>
      </c>
      <c r="G16" s="171">
        <f>[2]SWEB!L15/1000000</f>
        <v>0</v>
      </c>
      <c r="H16" s="171">
        <f>[2]SWEB!M15/1000000</f>
        <v>0</v>
      </c>
      <c r="I16" s="171">
        <f>[2]SWEB!N15/1000000</f>
        <v>0</v>
      </c>
      <c r="J16" s="171">
        <v>0</v>
      </c>
      <c r="K16" s="165" t="s">
        <v>234</v>
      </c>
      <c r="L16" s="172"/>
      <c r="M16" s="172"/>
      <c r="N16" s="172"/>
      <c r="O16" s="172"/>
      <c r="P16" s="172"/>
    </row>
    <row r="17" spans="1:20" ht="15.75" x14ac:dyDescent="0.25">
      <c r="A17" s="169" t="s">
        <v>243</v>
      </c>
      <c r="B17" s="170" t="s">
        <v>244</v>
      </c>
      <c r="C17" s="169" t="s">
        <v>233</v>
      </c>
      <c r="D17" s="171">
        <f>'[1]R8 Pass-Through Items'!N12</f>
        <v>4.4739735654577666E-2</v>
      </c>
      <c r="E17" s="171">
        <f>[2]SWEB!J16/1000000</f>
        <v>4.755022344465433E-2</v>
      </c>
      <c r="F17" s="171">
        <f>[2]SWEB!K16/1000000</f>
        <v>4.3169197771487484E-2</v>
      </c>
      <c r="G17" s="171">
        <f>[2]SWEB!L16/1000000</f>
        <v>0</v>
      </c>
      <c r="H17" s="171">
        <f>[2]SWEB!M16/1000000</f>
        <v>0</v>
      </c>
      <c r="I17" s="171">
        <f>[2]SWEB!N16/1000000</f>
        <v>0</v>
      </c>
      <c r="J17" s="171">
        <v>0</v>
      </c>
      <c r="K17" s="165" t="s">
        <v>234</v>
      </c>
      <c r="L17" s="172"/>
      <c r="M17" s="172"/>
      <c r="N17" s="172"/>
      <c r="O17" s="172"/>
      <c r="P17" s="172"/>
    </row>
    <row r="18" spans="1:20" ht="18" customHeight="1" x14ac:dyDescent="0.25">
      <c r="A18" s="169" t="s">
        <v>245</v>
      </c>
      <c r="B18" s="170" t="s">
        <v>246</v>
      </c>
      <c r="C18" s="169" t="s">
        <v>233</v>
      </c>
      <c r="D18" s="171">
        <f>'[1]R8 Pass-Through Items'!N$15</f>
        <v>53.985439536840182</v>
      </c>
      <c r="E18" s="171">
        <f>[2]SWEB!J17/1000000</f>
        <v>0.77763100003322083</v>
      </c>
      <c r="F18" s="171">
        <f>[2]SWEB!K17/1000000</f>
        <v>1.3645098991658018</v>
      </c>
      <c r="G18" s="171">
        <f>[2]SWEB!L17/1000000</f>
        <v>0</v>
      </c>
      <c r="H18" s="171">
        <f>[2]SWEB!M17/1000000</f>
        <v>0</v>
      </c>
      <c r="I18" s="171">
        <f>[2]SWEB!N17/1000000</f>
        <v>0</v>
      </c>
      <c r="J18" s="171">
        <v>0</v>
      </c>
      <c r="K18" s="165" t="s">
        <v>234</v>
      </c>
      <c r="L18" s="172"/>
      <c r="M18" s="172"/>
      <c r="N18" s="172"/>
      <c r="O18" s="172"/>
      <c r="P18" s="172"/>
    </row>
    <row r="19" spans="1:20" ht="15.75" x14ac:dyDescent="0.25">
      <c r="A19" s="169" t="s">
        <v>247</v>
      </c>
      <c r="B19" s="170" t="s">
        <v>248</v>
      </c>
      <c r="C19" s="169" t="s">
        <v>233</v>
      </c>
      <c r="D19" s="171">
        <f>'[1]R8 Pass-Through Items'!N$16</f>
        <v>0.61244447451075568</v>
      </c>
      <c r="E19" s="171">
        <f>[2]SWEB!J18/1000000</f>
        <v>1.8664842674591764</v>
      </c>
      <c r="F19" s="171">
        <f>[2]SWEB!K18/1000000</f>
        <v>4.598059051064439</v>
      </c>
      <c r="G19" s="171">
        <f>[2]SWEB!L18/1000000</f>
        <v>-2.4290813819923662E-2</v>
      </c>
      <c r="H19" s="171">
        <f>[2]SWEB!M18/1000000</f>
        <v>0</v>
      </c>
      <c r="I19" s="171">
        <f>[2]SWEB!N18/1000000</f>
        <v>0</v>
      </c>
      <c r="J19" s="171">
        <v>0</v>
      </c>
      <c r="K19" s="165" t="s">
        <v>249</v>
      </c>
      <c r="L19" s="172"/>
      <c r="M19" s="172"/>
      <c r="N19" s="172"/>
      <c r="O19" s="172"/>
      <c r="P19" s="172"/>
    </row>
    <row r="20" spans="1:20" ht="15.75" x14ac:dyDescent="0.25">
      <c r="A20" s="169" t="s">
        <v>250</v>
      </c>
      <c r="B20" s="170" t="s">
        <v>251</v>
      </c>
      <c r="C20" s="169" t="s">
        <v>233</v>
      </c>
      <c r="D20" s="171">
        <f>'[1]R8 Pass-Through Items'!$N$154</f>
        <v>4.4369024812378694E-3</v>
      </c>
      <c r="E20" s="171">
        <f>[2]SWEB!J19/1000000</f>
        <v>0</v>
      </c>
      <c r="F20" s="171">
        <f>[2]SWEB!K19/1000000</f>
        <v>0</v>
      </c>
      <c r="G20" s="171">
        <f>[2]SWEB!L19/1000000</f>
        <v>0</v>
      </c>
      <c r="H20" s="171">
        <f>[2]SWEB!M19/1000000</f>
        <v>0</v>
      </c>
      <c r="I20" s="171">
        <f>[2]SWEB!N19/1000000</f>
        <v>0</v>
      </c>
      <c r="J20" s="171">
        <v>0</v>
      </c>
      <c r="K20" s="165"/>
      <c r="L20" s="172"/>
      <c r="M20" s="172"/>
      <c r="N20" s="172"/>
      <c r="O20" s="172"/>
      <c r="P20" s="172"/>
    </row>
    <row r="21" spans="1:20" ht="31.5" x14ac:dyDescent="0.25">
      <c r="A21" s="169" t="s">
        <v>252</v>
      </c>
      <c r="B21" s="165" t="s">
        <v>253</v>
      </c>
      <c r="C21" s="169" t="s">
        <v>233</v>
      </c>
      <c r="D21" s="171">
        <v>0</v>
      </c>
      <c r="E21" s="171">
        <f>[2]SWEB!J20/1000000</f>
        <v>0</v>
      </c>
      <c r="F21" s="171">
        <f>[2]SWEB!K20/1000000</f>
        <v>0</v>
      </c>
      <c r="G21" s="171">
        <f>[2]SWEB!L20/1000000</f>
        <v>0</v>
      </c>
      <c r="H21" s="171">
        <f>[2]SWEB!M20/1000000</f>
        <v>0</v>
      </c>
      <c r="I21" s="171">
        <f>[2]SWEB!N20/1000000</f>
        <v>0</v>
      </c>
      <c r="J21" s="171">
        <v>0</v>
      </c>
      <c r="K21" s="165"/>
      <c r="L21" s="172"/>
      <c r="M21" s="172"/>
      <c r="N21" s="172"/>
      <c r="O21" s="172"/>
      <c r="P21" s="172"/>
    </row>
    <row r="22" spans="1:20" ht="31.5" x14ac:dyDescent="0.25">
      <c r="A22" s="175" t="s">
        <v>254</v>
      </c>
      <c r="B22" s="176" t="s">
        <v>255</v>
      </c>
      <c r="C22" s="175" t="s">
        <v>256</v>
      </c>
      <c r="D22" s="181">
        <f t="shared" ref="D22:H22" si="2">SUM(D12:D21)</f>
        <v>46.482474498862651</v>
      </c>
      <c r="E22" s="181">
        <f t="shared" si="2"/>
        <v>-6.6466763155545276</v>
      </c>
      <c r="F22" s="181">
        <f t="shared" si="2"/>
        <v>-8.1245076129302269</v>
      </c>
      <c r="G22" s="177">
        <f t="shared" si="2"/>
        <v>2.1824190940309682</v>
      </c>
      <c r="H22" s="177">
        <f t="shared" si="2"/>
        <v>2.2306809419059928</v>
      </c>
      <c r="I22" s="177">
        <f t="shared" ref="I22:J22" si="3">SUM(I12:I21)</f>
        <v>2.2827340578061572</v>
      </c>
      <c r="J22" s="177">
        <f t="shared" si="3"/>
        <v>0</v>
      </c>
      <c r="K22" s="182" t="s">
        <v>257</v>
      </c>
      <c r="L22" s="172"/>
      <c r="M22" s="183"/>
      <c r="N22" s="183"/>
      <c r="O22" s="183"/>
      <c r="P22" s="183"/>
      <c r="Q22" s="183"/>
      <c r="R22" s="183"/>
      <c r="S22" s="183"/>
      <c r="T22" s="183"/>
    </row>
    <row r="23" spans="1:20" ht="15.75" x14ac:dyDescent="0.25">
      <c r="A23" s="169" t="s">
        <v>258</v>
      </c>
      <c r="B23" s="170" t="s">
        <v>259</v>
      </c>
      <c r="C23" s="169" t="s">
        <v>260</v>
      </c>
      <c r="D23" s="171">
        <f>'[1]R7 Output Incentives'!N6</f>
        <v>3.3663741698171044</v>
      </c>
      <c r="E23" s="171">
        <f>[2]SWEB!J23/1000000</f>
        <v>3.2495736225667011</v>
      </c>
      <c r="F23" s="171">
        <f>[2]SWEB!K23/1000000</f>
        <v>4.8417444228738811</v>
      </c>
      <c r="G23" s="171">
        <f>[2]SWEB!L23/1000000</f>
        <v>0</v>
      </c>
      <c r="H23" s="171">
        <f>[2]SWEB!M23/1000000</f>
        <v>0</v>
      </c>
      <c r="I23" s="171">
        <f>[2]SWEB!N23/1000000</f>
        <v>0</v>
      </c>
      <c r="J23" s="171">
        <v>0</v>
      </c>
      <c r="K23" s="165" t="s">
        <v>234</v>
      </c>
      <c r="L23" s="172"/>
      <c r="M23" s="172"/>
      <c r="N23" s="172"/>
      <c r="O23" s="172"/>
      <c r="P23" s="172"/>
    </row>
    <row r="24" spans="1:20" ht="15.75" x14ac:dyDescent="0.25">
      <c r="A24" s="169" t="s">
        <v>261</v>
      </c>
      <c r="B24" s="170" t="s">
        <v>262</v>
      </c>
      <c r="C24" s="169" t="s">
        <v>263</v>
      </c>
      <c r="D24" s="171">
        <f>'[1]R7 Output Incentives'!N7</f>
        <v>1.2929895953825647</v>
      </c>
      <c r="E24" s="171">
        <f>[2]SWEB!J24/1000000</f>
        <v>7.4248247031052355</v>
      </c>
      <c r="F24" s="171">
        <f>[2]SWEB!K24/1000000</f>
        <v>5.0179401054030386</v>
      </c>
      <c r="G24" s="171">
        <f>[2]SWEB!L24/1000000</f>
        <v>0</v>
      </c>
      <c r="H24" s="171">
        <f>[2]SWEB!M24/1000000</f>
        <v>0</v>
      </c>
      <c r="I24" s="171">
        <f>[2]SWEB!N24/1000000</f>
        <v>0</v>
      </c>
      <c r="J24" s="171">
        <v>0</v>
      </c>
      <c r="K24" s="165" t="s">
        <v>234</v>
      </c>
      <c r="L24" s="172"/>
      <c r="M24" s="172"/>
      <c r="N24" s="172"/>
      <c r="O24" s="172"/>
      <c r="P24" s="172"/>
    </row>
    <row r="25" spans="1:20" ht="15.75" x14ac:dyDescent="0.25">
      <c r="A25" s="169" t="s">
        <v>264</v>
      </c>
      <c r="B25" s="170" t="s">
        <v>265</v>
      </c>
      <c r="C25" s="169" t="s">
        <v>266</v>
      </c>
      <c r="D25" s="171">
        <f>'[1]R7 Output Incentives'!N8</f>
        <v>0</v>
      </c>
      <c r="E25" s="171">
        <f>[2]SWEB!J25/1000000</f>
        <v>0</v>
      </c>
      <c r="F25" s="171">
        <f>[2]SWEB!K25/1000000</f>
        <v>0</v>
      </c>
      <c r="G25" s="171">
        <f>[2]SWEB!L25/1000000</f>
        <v>0</v>
      </c>
      <c r="H25" s="171">
        <f>[2]SWEB!M25/1000000</f>
        <v>0</v>
      </c>
      <c r="I25" s="171">
        <f>[2]SWEB!N25/1000000</f>
        <v>0</v>
      </c>
      <c r="J25" s="171">
        <v>0</v>
      </c>
      <c r="K25" s="165" t="s">
        <v>267</v>
      </c>
      <c r="L25" s="172"/>
      <c r="M25" s="172"/>
      <c r="N25" s="172"/>
      <c r="O25" s="172"/>
      <c r="P25" s="172"/>
    </row>
    <row r="26" spans="1:20" ht="15.75" x14ac:dyDescent="0.25">
      <c r="A26" s="169" t="s">
        <v>268</v>
      </c>
      <c r="B26" s="170" t="s">
        <v>269</v>
      </c>
      <c r="C26" s="169" t="s">
        <v>270</v>
      </c>
      <c r="D26" s="171">
        <f>'[1]R7 Output Incentives'!N9</f>
        <v>0.85590788167712317</v>
      </c>
      <c r="E26" s="171">
        <f>[2]SWEB!J26/1000000</f>
        <v>0.80970979711911739</v>
      </c>
      <c r="F26" s="171">
        <f>[2]SWEB!K26/1000000</f>
        <v>0.85140250121313232</v>
      </c>
      <c r="G26" s="171">
        <f>[2]SWEB!L26/1000000</f>
        <v>0</v>
      </c>
      <c r="H26" s="171">
        <f>[2]SWEB!M26/1000000</f>
        <v>0</v>
      </c>
      <c r="I26" s="171">
        <f>[2]SWEB!N26/1000000</f>
        <v>0</v>
      </c>
      <c r="J26" s="171">
        <v>0</v>
      </c>
      <c r="K26" s="165" t="s">
        <v>234</v>
      </c>
      <c r="L26" s="172"/>
      <c r="M26" s="172"/>
      <c r="N26" s="172"/>
      <c r="O26" s="172"/>
      <c r="P26" s="172"/>
    </row>
    <row r="27" spans="1:20" ht="15.75" x14ac:dyDescent="0.25">
      <c r="A27" s="169" t="s">
        <v>271</v>
      </c>
      <c r="B27" s="169" t="s">
        <v>272</v>
      </c>
      <c r="C27" s="169" t="s">
        <v>273</v>
      </c>
      <c r="D27" s="171">
        <f>'[1]R7 Output Incentives'!N10</f>
        <v>0</v>
      </c>
      <c r="E27" s="171">
        <f>[2]SWEB!J27/1000000</f>
        <v>0</v>
      </c>
      <c r="F27" s="171">
        <f>[2]SWEB!K27/1000000</f>
        <v>0</v>
      </c>
      <c r="G27" s="171">
        <f>[2]SWEB!L27/1000000</f>
        <v>0</v>
      </c>
      <c r="H27" s="171">
        <f>[2]SWEB!M27/1000000</f>
        <v>0</v>
      </c>
      <c r="I27" s="171">
        <f>[2]SWEB!N27/1000000</f>
        <v>0</v>
      </c>
      <c r="J27" s="171">
        <v>0</v>
      </c>
      <c r="K27" s="165" t="s">
        <v>267</v>
      </c>
      <c r="L27" s="172"/>
      <c r="M27" s="172"/>
      <c r="N27" s="172"/>
      <c r="O27" s="172"/>
      <c r="P27" s="172"/>
    </row>
    <row r="28" spans="1:20" ht="15.75" x14ac:dyDescent="0.25">
      <c r="A28" s="169" t="s">
        <v>274</v>
      </c>
      <c r="B28" s="170" t="s">
        <v>275</v>
      </c>
      <c r="C28" s="169" t="s">
        <v>276</v>
      </c>
      <c r="D28" s="171">
        <f>'[1]R14 Allowed Revenue Summary'!N11</f>
        <v>0.93482999999999994</v>
      </c>
      <c r="E28" s="171">
        <f>[2]SWEB!J28/1000000</f>
        <v>0</v>
      </c>
      <c r="F28" s="171">
        <f>[2]SWEB!K28/1000000</f>
        <v>0</v>
      </c>
      <c r="G28" s="171">
        <f>[2]SWEB!L28/1000000</f>
        <v>0</v>
      </c>
      <c r="H28" s="171">
        <f>[2]SWEB!M28/1000000</f>
        <v>0</v>
      </c>
      <c r="I28" s="171">
        <f>[2]SWEB!N28/1000000</f>
        <v>0</v>
      </c>
      <c r="J28" s="171">
        <v>0</v>
      </c>
      <c r="K28" s="165" t="s">
        <v>234</v>
      </c>
      <c r="L28" s="172"/>
      <c r="M28" s="172"/>
      <c r="N28" s="172"/>
      <c r="O28" s="172"/>
      <c r="P28" s="172"/>
    </row>
    <row r="29" spans="1:20" ht="15.75" x14ac:dyDescent="0.25">
      <c r="A29" s="214" t="s">
        <v>277</v>
      </c>
      <c r="B29" s="169" t="s">
        <v>278</v>
      </c>
      <c r="C29" s="169" t="s">
        <v>279</v>
      </c>
      <c r="D29" s="171">
        <v>0</v>
      </c>
      <c r="E29" s="171">
        <f>[2]SWEB!J29/1000000</f>
        <v>0</v>
      </c>
      <c r="F29" s="171">
        <f>[2]SWEB!K29/1000000</f>
        <v>0</v>
      </c>
      <c r="G29" s="171">
        <f>[2]SWEB!L29/1000000</f>
        <v>0</v>
      </c>
      <c r="H29" s="171">
        <f>[2]SWEB!M29/1000000</f>
        <v>0</v>
      </c>
      <c r="I29" s="171">
        <f>[2]SWEB!N29/1000000</f>
        <v>0</v>
      </c>
      <c r="J29" s="171">
        <v>0</v>
      </c>
      <c r="K29" s="165" t="s">
        <v>267</v>
      </c>
      <c r="L29" s="172"/>
      <c r="M29" s="172"/>
      <c r="N29" s="172"/>
      <c r="O29" s="172"/>
      <c r="P29" s="172"/>
    </row>
    <row r="30" spans="1:20" ht="15.75" x14ac:dyDescent="0.25">
      <c r="A30" s="215"/>
      <c r="B30" s="169" t="s">
        <v>280</v>
      </c>
      <c r="C30" s="169" t="s">
        <v>279</v>
      </c>
      <c r="D30" s="171">
        <f>'[1]R14 Allowed Revenue Summary'!N12</f>
        <v>-0.17758700999999999</v>
      </c>
      <c r="E30" s="171">
        <f>[2]SWEB!J30/1000000</f>
        <v>1.6354029999999999E-2</v>
      </c>
      <c r="F30" s="171">
        <f>[2]SWEB!K30/1000000</f>
        <v>0</v>
      </c>
      <c r="G30" s="171">
        <f>[2]SWEB!L30/1000000</f>
        <v>0</v>
      </c>
      <c r="H30" s="171">
        <f>[2]SWEB!M30/1000000</f>
        <v>0</v>
      </c>
      <c r="I30" s="171">
        <f>[2]SWEB!N30/1000000</f>
        <v>0</v>
      </c>
      <c r="J30" s="171">
        <v>0</v>
      </c>
      <c r="K30" s="165" t="s">
        <v>281</v>
      </c>
      <c r="L30" s="172"/>
      <c r="M30" s="172"/>
      <c r="N30" s="172"/>
      <c r="O30" s="172"/>
      <c r="P30" s="172"/>
    </row>
    <row r="31" spans="1:20" ht="31.5" x14ac:dyDescent="0.25">
      <c r="A31" s="169" t="s">
        <v>282</v>
      </c>
      <c r="B31" s="169" t="s">
        <v>283</v>
      </c>
      <c r="C31" s="169" t="s">
        <v>284</v>
      </c>
      <c r="D31" s="171">
        <v>0</v>
      </c>
      <c r="E31" s="171">
        <f>[2]SWEB!J31/1000000</f>
        <v>0</v>
      </c>
      <c r="F31" s="171">
        <f>[2]SWEB!K31/1000000</f>
        <v>0</v>
      </c>
      <c r="G31" s="171">
        <f>[2]SWEB!L31/1000000</f>
        <v>0</v>
      </c>
      <c r="H31" s="171">
        <f>[2]SWEB!M31/1000000</f>
        <v>0</v>
      </c>
      <c r="I31" s="171">
        <f>[2]SWEB!N31/1000000</f>
        <v>0</v>
      </c>
      <c r="J31" s="171">
        <v>0</v>
      </c>
      <c r="K31" s="165" t="s">
        <v>267</v>
      </c>
      <c r="L31" s="172"/>
      <c r="M31" s="172"/>
      <c r="N31" s="172"/>
      <c r="O31" s="172"/>
      <c r="P31" s="172"/>
    </row>
    <row r="32" spans="1:20" ht="15.75" x14ac:dyDescent="0.25">
      <c r="A32" s="216" t="s">
        <v>285</v>
      </c>
      <c r="B32" s="170" t="s">
        <v>286</v>
      </c>
      <c r="C32" s="169" t="s">
        <v>287</v>
      </c>
      <c r="D32" s="171">
        <f>'[1]R14 Allowed Revenue Summary'!N15</f>
        <v>0</v>
      </c>
      <c r="E32" s="171">
        <f>[2]SWEB!J32/1000000</f>
        <v>0</v>
      </c>
      <c r="F32" s="171">
        <f>[2]SWEB!K32/1000000</f>
        <v>0</v>
      </c>
      <c r="G32" s="171">
        <f>[2]SWEB!L32/1000000</f>
        <v>0</v>
      </c>
      <c r="H32" s="171">
        <f>[2]SWEB!M32/1000000</f>
        <v>0</v>
      </c>
      <c r="I32" s="171">
        <f>[2]SWEB!N32/1000000</f>
        <v>0</v>
      </c>
      <c r="J32" s="171">
        <v>0</v>
      </c>
      <c r="K32" s="165" t="s">
        <v>249</v>
      </c>
      <c r="L32" s="172"/>
      <c r="M32" s="172"/>
      <c r="N32" s="172"/>
      <c r="O32" s="172"/>
      <c r="P32" s="172"/>
    </row>
    <row r="33" spans="1:20" ht="15.75" x14ac:dyDescent="0.25">
      <c r="A33" s="217"/>
      <c r="B33" s="169" t="s">
        <v>288</v>
      </c>
      <c r="C33" s="169" t="s">
        <v>287</v>
      </c>
      <c r="D33" s="171">
        <v>0</v>
      </c>
      <c r="E33" s="171">
        <f>[2]SWEB!J33/1000000</f>
        <v>0</v>
      </c>
      <c r="F33" s="171">
        <f>[2]SWEB!K33/1000000</f>
        <v>0</v>
      </c>
      <c r="G33" s="171">
        <f>[2]SWEB!L33/1000000</f>
        <v>0</v>
      </c>
      <c r="H33" s="171">
        <f>[2]SWEB!M33/1000000</f>
        <v>0</v>
      </c>
      <c r="I33" s="171">
        <f>[2]SWEB!N33/1000000</f>
        <v>0</v>
      </c>
      <c r="J33" s="171">
        <v>0</v>
      </c>
      <c r="K33" s="165" t="s">
        <v>267</v>
      </c>
      <c r="L33" s="172"/>
      <c r="M33" s="172"/>
      <c r="N33" s="172"/>
      <c r="O33" s="172"/>
      <c r="P33" s="172"/>
    </row>
    <row r="34" spans="1:20" ht="31.5" x14ac:dyDescent="0.25">
      <c r="A34" s="182" t="s">
        <v>289</v>
      </c>
      <c r="B34" s="182"/>
      <c r="C34" s="182"/>
      <c r="D34" s="177">
        <f t="shared" ref="D34:H34" si="4">D23+D24+D25+D26+D27+D28+D29+D30+D31+D32+D33</f>
        <v>6.2725146368767923</v>
      </c>
      <c r="E34" s="177">
        <f t="shared" si="4"/>
        <v>11.500462152791055</v>
      </c>
      <c r="F34" s="177">
        <f t="shared" si="4"/>
        <v>10.71108702949005</v>
      </c>
      <c r="G34" s="177">
        <f t="shared" si="4"/>
        <v>0</v>
      </c>
      <c r="H34" s="177">
        <f t="shared" si="4"/>
        <v>0</v>
      </c>
      <c r="I34" s="177">
        <f t="shared" ref="I34:J34" si="5">I23+I24+I25+I26+I27+I28+I29+I30+I31+I32+I33</f>
        <v>0</v>
      </c>
      <c r="J34" s="177">
        <f t="shared" si="5"/>
        <v>0</v>
      </c>
      <c r="K34" s="182" t="s">
        <v>290</v>
      </c>
      <c r="L34" s="172"/>
      <c r="M34" s="172"/>
      <c r="N34" s="184"/>
      <c r="O34" s="184"/>
      <c r="P34" s="184"/>
      <c r="Q34" s="184"/>
      <c r="R34" s="184"/>
      <c r="S34" s="184"/>
      <c r="T34" s="184"/>
    </row>
    <row r="35" spans="1:20" ht="15.75" x14ac:dyDescent="0.25">
      <c r="A35" s="169" t="s">
        <v>291</v>
      </c>
      <c r="B35" s="170" t="s">
        <v>292</v>
      </c>
      <c r="C35" s="169" t="s">
        <v>216</v>
      </c>
      <c r="D35" s="171">
        <f>-'[1]R14 Allowed Revenue Summary'!N17</f>
        <v>9.1210886558024171</v>
      </c>
      <c r="E35" s="180">
        <f>[2]SWEB!J$36/1000000</f>
        <v>-26.750304050454112</v>
      </c>
      <c r="F35" s="180">
        <f>[2]SWEB!K$36/1000000</f>
        <v>14.241738457438707</v>
      </c>
      <c r="G35" s="180">
        <f>[2]SWEB!L$36/1000000</f>
        <v>-36.163267072306098</v>
      </c>
      <c r="H35" s="180">
        <f>[2]SWEB!M$36/1000000</f>
        <v>-20.182737040766217</v>
      </c>
      <c r="I35" s="180">
        <f>[2]SWEB!N$36/1000000</f>
        <v>0</v>
      </c>
      <c r="J35" s="180">
        <v>0</v>
      </c>
      <c r="K35" s="165"/>
      <c r="L35" s="172"/>
      <c r="M35" s="172"/>
      <c r="N35" s="184"/>
      <c r="O35" s="184"/>
      <c r="P35" s="184"/>
      <c r="Q35" s="184"/>
      <c r="R35" s="184"/>
      <c r="S35" s="184"/>
      <c r="T35" s="184"/>
    </row>
    <row r="36" spans="1:20" ht="15.75" x14ac:dyDescent="0.25">
      <c r="A36" s="175" t="s">
        <v>293</v>
      </c>
      <c r="B36" s="176" t="s">
        <v>294</v>
      </c>
      <c r="C36" s="175" t="s">
        <v>229</v>
      </c>
      <c r="D36" s="177">
        <f t="shared" ref="D36:H36" si="6">D11+D22+D34+D35</f>
        <v>407.64786269443317</v>
      </c>
      <c r="E36" s="177">
        <f t="shared" si="6"/>
        <v>389.21033665357794</v>
      </c>
      <c r="F36" s="177">
        <f t="shared" si="6"/>
        <v>464.38493915984168</v>
      </c>
      <c r="G36" s="177">
        <f t="shared" si="6"/>
        <v>397.11475314179603</v>
      </c>
      <c r="H36" s="177">
        <f t="shared" si="6"/>
        <v>427.47190059256945</v>
      </c>
      <c r="I36" s="177">
        <f t="shared" ref="I36:J36" si="7">I11+I22+I34+I35</f>
        <v>459.38613265670182</v>
      </c>
      <c r="J36" s="177">
        <f t="shared" si="7"/>
        <v>466.03338058633256</v>
      </c>
      <c r="K36" s="178" t="s">
        <v>295</v>
      </c>
      <c r="L36" s="172"/>
      <c r="M36" s="172"/>
      <c r="N36" s="172"/>
      <c r="O36" s="172"/>
      <c r="P36" s="172"/>
    </row>
    <row r="37" spans="1:20" ht="31.5" x14ac:dyDescent="0.25">
      <c r="A37" s="169" t="s">
        <v>296</v>
      </c>
      <c r="B37" s="169" t="s">
        <v>297</v>
      </c>
      <c r="C37" s="169" t="s">
        <v>298</v>
      </c>
      <c r="D37" s="171">
        <v>0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65"/>
      <c r="L37" s="172"/>
      <c r="M37" s="172"/>
      <c r="N37" s="172"/>
      <c r="O37" s="172"/>
      <c r="P37" s="172"/>
    </row>
    <row r="38" spans="1:20" ht="31.5" x14ac:dyDescent="0.25">
      <c r="A38" s="169" t="s">
        <v>299</v>
      </c>
      <c r="B38" s="169" t="s">
        <v>300</v>
      </c>
      <c r="C38" s="169" t="s">
        <v>298</v>
      </c>
      <c r="D38" s="171">
        <v>0</v>
      </c>
      <c r="E38" s="171">
        <v>0</v>
      </c>
      <c r="F38" s="171">
        <v>0</v>
      </c>
      <c r="G38" s="171">
        <v>0</v>
      </c>
      <c r="H38" s="171">
        <v>0</v>
      </c>
      <c r="I38" s="171">
        <v>0</v>
      </c>
      <c r="J38" s="171">
        <v>0</v>
      </c>
      <c r="K38" s="165"/>
      <c r="L38" s="172"/>
      <c r="M38" s="172"/>
      <c r="N38" s="172"/>
      <c r="O38" s="172"/>
      <c r="P38" s="172"/>
    </row>
    <row r="39" spans="1:20" ht="31.5" x14ac:dyDescent="0.25">
      <c r="A39" s="169" t="s">
        <v>301</v>
      </c>
      <c r="B39" s="169" t="s">
        <v>302</v>
      </c>
      <c r="C39" s="169" t="s">
        <v>298</v>
      </c>
      <c r="D39" s="171">
        <v>0</v>
      </c>
      <c r="E39" s="171">
        <v>0</v>
      </c>
      <c r="F39" s="171">
        <v>0</v>
      </c>
      <c r="G39" s="171">
        <v>0</v>
      </c>
      <c r="H39" s="171">
        <v>0</v>
      </c>
      <c r="I39" s="171">
        <v>0</v>
      </c>
      <c r="J39" s="171">
        <v>0</v>
      </c>
      <c r="K39" s="165"/>
      <c r="L39" s="172"/>
      <c r="M39" s="172"/>
      <c r="N39" s="172"/>
      <c r="O39" s="172"/>
      <c r="P39" s="172"/>
    </row>
    <row r="40" spans="1:20" ht="15.75" x14ac:dyDescent="0.25">
      <c r="A40" s="185"/>
      <c r="B40" s="169"/>
      <c r="C40" s="169"/>
      <c r="D40" s="186"/>
      <c r="E40" s="186"/>
      <c r="F40" s="171"/>
      <c r="G40" s="171"/>
      <c r="H40" s="171"/>
      <c r="I40" s="171"/>
      <c r="J40" s="171">
        <v>0</v>
      </c>
      <c r="K40" s="165"/>
      <c r="L40" s="172"/>
      <c r="M40" s="172"/>
      <c r="N40" s="172"/>
      <c r="O40" s="172"/>
      <c r="P40" s="172"/>
    </row>
    <row r="41" spans="1:20" ht="31.5" x14ac:dyDescent="0.25">
      <c r="A41" s="187" t="s">
        <v>303</v>
      </c>
      <c r="B41" s="165"/>
      <c r="C41" s="165"/>
      <c r="D41" s="171">
        <v>0</v>
      </c>
      <c r="E41" s="171">
        <v>0</v>
      </c>
      <c r="F41" s="171">
        <v>0</v>
      </c>
      <c r="G41" s="171">
        <v>0</v>
      </c>
      <c r="H41" s="171">
        <v>0</v>
      </c>
      <c r="I41" s="171">
        <v>0</v>
      </c>
      <c r="J41" s="171">
        <v>0</v>
      </c>
      <c r="K41" s="165"/>
      <c r="L41" s="172"/>
      <c r="M41" s="172"/>
      <c r="N41" s="172"/>
      <c r="O41" s="172"/>
      <c r="P41" s="172"/>
    </row>
    <row r="42" spans="1:20" ht="31.5" x14ac:dyDescent="0.25">
      <c r="A42" s="187" t="s">
        <v>304</v>
      </c>
      <c r="B42" s="165"/>
      <c r="C42" s="165"/>
      <c r="D42" s="171">
        <v>0</v>
      </c>
      <c r="E42" s="171">
        <v>0</v>
      </c>
      <c r="F42" s="171">
        <v>0</v>
      </c>
      <c r="G42" s="171">
        <v>0</v>
      </c>
      <c r="H42" s="171">
        <v>0</v>
      </c>
      <c r="I42" s="171">
        <v>0</v>
      </c>
      <c r="J42" s="171">
        <v>0</v>
      </c>
      <c r="K42" s="165"/>
      <c r="L42" s="172"/>
      <c r="M42" s="172"/>
      <c r="N42" s="172"/>
      <c r="O42" s="172"/>
      <c r="P42" s="172"/>
    </row>
    <row r="43" spans="1:20" ht="47.25" x14ac:dyDescent="0.25">
      <c r="A43" s="182" t="s">
        <v>305</v>
      </c>
      <c r="B43" s="182"/>
      <c r="C43" s="182"/>
      <c r="D43" s="177">
        <f t="shared" ref="D43:H43" si="8">D37+D38+D39+D40+D41+D42</f>
        <v>0</v>
      </c>
      <c r="E43" s="177">
        <f t="shared" si="8"/>
        <v>0</v>
      </c>
      <c r="F43" s="177">
        <f t="shared" si="8"/>
        <v>0</v>
      </c>
      <c r="G43" s="177">
        <f t="shared" si="8"/>
        <v>0</v>
      </c>
      <c r="H43" s="177">
        <f t="shared" si="8"/>
        <v>0</v>
      </c>
      <c r="I43" s="177">
        <f t="shared" ref="I43:J43" si="9">I37+I38+I39+I40+I41+I42</f>
        <v>0</v>
      </c>
      <c r="J43" s="177">
        <f t="shared" si="9"/>
        <v>0</v>
      </c>
      <c r="K43" s="182" t="s">
        <v>306</v>
      </c>
      <c r="L43" s="172"/>
      <c r="M43" s="172"/>
      <c r="N43" s="172"/>
      <c r="O43" s="172"/>
      <c r="P43" s="172"/>
    </row>
    <row r="44" spans="1:20" ht="31.5" x14ac:dyDescent="0.25">
      <c r="A44" s="182" t="s">
        <v>307</v>
      </c>
      <c r="B44" s="182"/>
      <c r="C44" s="182"/>
      <c r="D44" s="177">
        <f t="shared" ref="D44:H44" si="10">D36+D43</f>
        <v>407.64786269443317</v>
      </c>
      <c r="E44" s="177">
        <f t="shared" si="10"/>
        <v>389.21033665357794</v>
      </c>
      <c r="F44" s="177">
        <f t="shared" si="10"/>
        <v>464.38493915984168</v>
      </c>
      <c r="G44" s="177">
        <f t="shared" si="10"/>
        <v>397.11475314179603</v>
      </c>
      <c r="H44" s="177">
        <f t="shared" si="10"/>
        <v>427.47190059256945</v>
      </c>
      <c r="I44" s="177">
        <f t="shared" ref="I44:J44" si="11">I36+I43</f>
        <v>459.38613265670182</v>
      </c>
      <c r="J44" s="177">
        <f t="shared" si="11"/>
        <v>466.03338058633256</v>
      </c>
      <c r="K44" s="178" t="s">
        <v>308</v>
      </c>
      <c r="L44" s="172"/>
      <c r="M44" s="172"/>
      <c r="N44" s="172"/>
      <c r="O44" s="172"/>
      <c r="P44" s="172"/>
    </row>
    <row r="45" spans="1:20" ht="31.5" x14ac:dyDescent="0.25">
      <c r="A45" s="169" t="s">
        <v>309</v>
      </c>
      <c r="B45" s="165"/>
      <c r="C45" s="165"/>
      <c r="D45" s="171">
        <f>'[3]General inputs'!$H$82/1000000</f>
        <v>5.0419799884207439</v>
      </c>
      <c r="E45" s="171">
        <f>'[4]General inputs'!$H$83/1000000</f>
        <v>5.9416288313883951</v>
      </c>
      <c r="F45" s="171">
        <f>'[5]General inputs'!$H$83/1000000</f>
        <v>8.7681374602312498</v>
      </c>
      <c r="G45" s="171">
        <f>'[6]General inputs'!$H$83/1000000</f>
        <v>9.6825779351597383</v>
      </c>
      <c r="H45" s="171">
        <f>H44/G44*G45</f>
        <v>10.422755538121507</v>
      </c>
      <c r="I45" s="171">
        <f>I44/H44*H45</f>
        <v>11.200898472265777</v>
      </c>
      <c r="J45" s="171">
        <f>J44/I44*I45</f>
        <v>11.362973780784969</v>
      </c>
      <c r="K45" s="165"/>
      <c r="L45" s="172"/>
      <c r="M45" s="172"/>
      <c r="N45" s="172"/>
      <c r="O45" s="172"/>
      <c r="P45" s="172"/>
    </row>
    <row r="46" spans="1:20" ht="31.5" x14ac:dyDescent="0.25">
      <c r="A46" s="169" t="s">
        <v>310</v>
      </c>
      <c r="B46" s="165"/>
      <c r="C46" s="165"/>
      <c r="D46" s="171">
        <v>0</v>
      </c>
      <c r="E46" s="171">
        <v>0</v>
      </c>
      <c r="F46" s="171">
        <v>0</v>
      </c>
      <c r="G46" s="171">
        <v>0</v>
      </c>
      <c r="H46" s="171">
        <v>0</v>
      </c>
      <c r="I46" s="171">
        <v>0</v>
      </c>
      <c r="J46" s="171">
        <v>0</v>
      </c>
      <c r="K46" s="165"/>
      <c r="L46" s="172"/>
      <c r="M46" s="172"/>
      <c r="N46" s="172"/>
      <c r="O46" s="172"/>
      <c r="P46" s="172"/>
    </row>
    <row r="47" spans="1:20" ht="31.5" x14ac:dyDescent="0.25">
      <c r="A47" s="187" t="s">
        <v>311</v>
      </c>
      <c r="B47" s="165"/>
      <c r="C47" s="165"/>
      <c r="D47" s="171">
        <v>0</v>
      </c>
      <c r="E47" s="171">
        <v>0</v>
      </c>
      <c r="F47" s="171">
        <v>0</v>
      </c>
      <c r="G47" s="171">
        <v>0</v>
      </c>
      <c r="H47" s="171">
        <v>0</v>
      </c>
      <c r="I47" s="171">
        <v>0</v>
      </c>
      <c r="J47" s="171">
        <v>0</v>
      </c>
      <c r="K47" s="165"/>
      <c r="L47" s="172"/>
      <c r="M47" s="172"/>
      <c r="N47" s="172"/>
      <c r="O47" s="172"/>
      <c r="P47" s="172"/>
    </row>
    <row r="48" spans="1:20" ht="15.75" x14ac:dyDescent="0.25">
      <c r="A48" s="187" t="s">
        <v>312</v>
      </c>
      <c r="B48" s="165"/>
      <c r="C48" s="165"/>
      <c r="D48" s="171">
        <v>0</v>
      </c>
      <c r="E48" s="171">
        <v>0</v>
      </c>
      <c r="F48" s="171">
        <v>0</v>
      </c>
      <c r="G48" s="171">
        <v>0</v>
      </c>
      <c r="H48" s="171">
        <v>0</v>
      </c>
      <c r="I48" s="171">
        <v>0</v>
      </c>
      <c r="J48" s="171">
        <v>0</v>
      </c>
      <c r="K48" s="165"/>
      <c r="L48" s="172"/>
      <c r="M48" s="172"/>
      <c r="N48" s="172"/>
      <c r="O48" s="172"/>
      <c r="P48" s="172"/>
    </row>
    <row r="49" spans="1:21" ht="31.5" x14ac:dyDescent="0.25">
      <c r="A49" s="182" t="s">
        <v>313</v>
      </c>
      <c r="B49" s="182"/>
      <c r="C49" s="182"/>
      <c r="D49" s="177">
        <f t="shared" ref="D49:H49" si="12">D45+D46+D47+D48</f>
        <v>5.0419799884207439</v>
      </c>
      <c r="E49" s="177">
        <f t="shared" si="12"/>
        <v>5.9416288313883951</v>
      </c>
      <c r="F49" s="177">
        <f t="shared" si="12"/>
        <v>8.7681374602312498</v>
      </c>
      <c r="G49" s="177">
        <f t="shared" si="12"/>
        <v>9.6825779351597383</v>
      </c>
      <c r="H49" s="177">
        <f t="shared" si="12"/>
        <v>10.422755538121507</v>
      </c>
      <c r="I49" s="177">
        <f t="shared" ref="I49:J49" si="13">I45+I46+I47+I48</f>
        <v>11.200898472265777</v>
      </c>
      <c r="J49" s="177">
        <f t="shared" si="13"/>
        <v>11.362973780784969</v>
      </c>
      <c r="K49" s="182" t="s">
        <v>314</v>
      </c>
      <c r="L49" s="172"/>
      <c r="M49" s="172"/>
      <c r="N49" s="172"/>
      <c r="O49" s="172"/>
      <c r="P49" s="172"/>
    </row>
    <row r="50" spans="1:21" ht="31.5" x14ac:dyDescent="0.25">
      <c r="A50" s="182" t="s">
        <v>315</v>
      </c>
      <c r="B50" s="182"/>
      <c r="C50" s="182"/>
      <c r="D50" s="177">
        <f t="shared" ref="D50:H50" si="14">D44-D49</f>
        <v>402.60588270601244</v>
      </c>
      <c r="E50" s="177">
        <f t="shared" si="14"/>
        <v>383.26870782218953</v>
      </c>
      <c r="F50" s="177">
        <f t="shared" si="14"/>
        <v>455.61680169961045</v>
      </c>
      <c r="G50" s="177">
        <f t="shared" si="14"/>
        <v>387.43217520663632</v>
      </c>
      <c r="H50" s="177">
        <f t="shared" si="14"/>
        <v>417.04914505444793</v>
      </c>
      <c r="I50" s="177">
        <f t="shared" ref="I50:J50" si="15">I44-I49</f>
        <v>448.18523418443601</v>
      </c>
      <c r="J50" s="177">
        <f t="shared" si="15"/>
        <v>454.6704068055476</v>
      </c>
      <c r="K50" s="178" t="s">
        <v>316</v>
      </c>
      <c r="L50" s="172"/>
      <c r="M50" s="172"/>
      <c r="N50" s="172"/>
      <c r="O50" s="172"/>
      <c r="P50" s="172"/>
    </row>
    <row r="51" spans="1:21" ht="15.75" x14ac:dyDescent="0.25">
      <c r="A51" s="175" t="s">
        <v>317</v>
      </c>
      <c r="B51" s="182"/>
      <c r="C51" s="182"/>
      <c r="D51" s="188">
        <f>'[7]General inputs'!$H$87/1000000</f>
        <v>412.45949683210171</v>
      </c>
      <c r="E51" s="188">
        <f>'[8]General inputs'!$H$88/1000000</f>
        <v>384.55623688758169</v>
      </c>
      <c r="F51" s="188">
        <f>'[5]General inputs'!$H$88/1000000</f>
        <v>493.59689704489801</v>
      </c>
      <c r="G51" s="188">
        <f>'[6]General inputs'!$H$88/1000000</f>
        <v>406.5063906595941</v>
      </c>
      <c r="H51" s="188">
        <f t="shared" ref="H51" si="16">H50</f>
        <v>417.04914505444793</v>
      </c>
      <c r="I51" s="188">
        <f t="shared" ref="I51:J51" si="17">I50</f>
        <v>448.18523418443601</v>
      </c>
      <c r="J51" s="188">
        <f t="shared" si="17"/>
        <v>454.6704068055476</v>
      </c>
      <c r="K51" s="182"/>
      <c r="L51" s="172"/>
      <c r="M51" s="172"/>
      <c r="N51" s="172"/>
      <c r="O51" s="172"/>
      <c r="P51" s="172"/>
    </row>
    <row r="52" spans="1:21" ht="15.75" x14ac:dyDescent="0.25">
      <c r="A52" s="169" t="s">
        <v>318</v>
      </c>
      <c r="B52" s="165"/>
      <c r="C52" s="165"/>
      <c r="D52" s="171">
        <f>'Table 1 ED2 Detailed'!D93</f>
        <v>413.09147007999997</v>
      </c>
      <c r="E52" s="171">
        <f>'Table 1 ED2 Detailed'!E93</f>
        <v>375.89994164000001</v>
      </c>
      <c r="F52" s="171">
        <f>'Table 1 ED2 Detailed'!F93</f>
        <v>498.52929279587153</v>
      </c>
      <c r="G52" s="171">
        <f>'Table 1 ED2 Detailed'!G93</f>
        <v>416.19988552826158</v>
      </c>
      <c r="H52" s="171">
        <f>'Table 1 ED2 Detailed'!H93</f>
        <v>427.47190059256951</v>
      </c>
      <c r="I52" s="171">
        <f>'Table 1 ED2 Detailed'!I93</f>
        <v>459.38613265670176</v>
      </c>
      <c r="J52" s="171">
        <f>J44</f>
        <v>466.03338058633256</v>
      </c>
      <c r="K52" s="165"/>
      <c r="L52" s="172"/>
      <c r="M52" s="172"/>
      <c r="N52" s="184"/>
      <c r="O52" s="184"/>
      <c r="P52" s="184"/>
      <c r="Q52" s="184"/>
      <c r="R52" s="184"/>
      <c r="S52" s="184"/>
      <c r="T52" s="184"/>
      <c r="U52" s="184"/>
    </row>
    <row r="53" spans="1:21" ht="31.5" x14ac:dyDescent="0.25">
      <c r="A53" s="169" t="s">
        <v>319</v>
      </c>
      <c r="B53" s="165"/>
      <c r="C53" s="165"/>
      <c r="D53" s="189">
        <f t="shared" ref="D53:H53" si="18">D52-D43-D36+D46</f>
        <v>5.4436073855667928</v>
      </c>
      <c r="E53" s="189">
        <f t="shared" si="18"/>
        <v>-13.310395013577931</v>
      </c>
      <c r="F53" s="189">
        <f t="shared" si="18"/>
        <v>34.144353636029848</v>
      </c>
      <c r="G53" s="189">
        <f t="shared" si="18"/>
        <v>19.085132386465546</v>
      </c>
      <c r="H53" s="189">
        <f t="shared" si="18"/>
        <v>5.6843418860808015E-14</v>
      </c>
      <c r="I53" s="189">
        <f t="shared" ref="I53:J53" si="19">I52-I43-I36+I46</f>
        <v>-5.6843418860808015E-14</v>
      </c>
      <c r="J53" s="189">
        <f t="shared" si="19"/>
        <v>0</v>
      </c>
      <c r="K53" s="169" t="s">
        <v>320</v>
      </c>
      <c r="L53" s="172"/>
      <c r="M53" s="172"/>
      <c r="N53" s="172"/>
      <c r="O53" s="172"/>
      <c r="P53" s="172"/>
    </row>
    <row r="54" spans="1:21" ht="31.5" x14ac:dyDescent="0.25">
      <c r="A54" s="169" t="s">
        <v>321</v>
      </c>
      <c r="B54" s="165"/>
      <c r="C54" s="165"/>
      <c r="D54" s="190"/>
      <c r="E54" s="190">
        <f t="shared" ref="E54:J54" si="20">E36/D36-1</f>
        <v>-4.5229051169282664E-2</v>
      </c>
      <c r="F54" s="190">
        <f t="shared" si="20"/>
        <v>0.19314646972794547</v>
      </c>
      <c r="G54" s="190">
        <f t="shared" si="20"/>
        <v>-0.14485867293575427</v>
      </c>
      <c r="H54" s="190">
        <f t="shared" si="20"/>
        <v>7.6444270102284273E-2</v>
      </c>
      <c r="I54" s="190">
        <f t="shared" si="20"/>
        <v>7.4658081665466725E-2</v>
      </c>
      <c r="J54" s="190">
        <f t="shared" si="20"/>
        <v>1.4469848907255223E-2</v>
      </c>
      <c r="K54" s="165"/>
      <c r="L54" s="172"/>
      <c r="M54" s="172"/>
      <c r="N54" s="172"/>
      <c r="O54" s="172"/>
      <c r="P54" s="172"/>
    </row>
    <row r="55" spans="1:21" ht="31.5" x14ac:dyDescent="0.25">
      <c r="A55" s="169" t="s">
        <v>322</v>
      </c>
      <c r="B55" s="165"/>
      <c r="C55" s="165"/>
      <c r="D55" s="191"/>
      <c r="E55" s="191">
        <f t="shared" ref="E55:J55" si="21">E52/D52-1</f>
        <v>-9.0032186897486377E-2</v>
      </c>
      <c r="F55" s="191">
        <f t="shared" si="21"/>
        <v>0.3262287049603052</v>
      </c>
      <c r="G55" s="191">
        <f t="shared" si="21"/>
        <v>-0.16514457316216458</v>
      </c>
      <c r="H55" s="191">
        <f t="shared" si="21"/>
        <v>2.7083176752922267E-2</v>
      </c>
      <c r="I55" s="191">
        <f t="shared" si="21"/>
        <v>7.4658081665466502E-2</v>
      </c>
      <c r="J55" s="191">
        <f t="shared" si="21"/>
        <v>1.4469848907255223E-2</v>
      </c>
      <c r="K55" s="165"/>
      <c r="L55" s="172"/>
      <c r="M55" s="172"/>
      <c r="N55" s="172"/>
      <c r="O55" s="172"/>
      <c r="P55" s="172"/>
    </row>
    <row r="56" spans="1:21" ht="63" x14ac:dyDescent="0.25">
      <c r="A56" s="192" t="s">
        <v>323</v>
      </c>
      <c r="B56" s="192"/>
      <c r="C56" s="192"/>
      <c r="D56" s="192"/>
      <c r="E56" s="192"/>
      <c r="F56" s="192"/>
      <c r="G56" s="192"/>
      <c r="H56" s="192"/>
      <c r="I56" s="192"/>
      <c r="J56" s="192"/>
      <c r="K56" s="192"/>
    </row>
    <row r="58" spans="1:21" x14ac:dyDescent="0.25">
      <c r="E58" s="183">
        <f>E44-'Table 1 ED2 Detailed'!E91</f>
        <v>0</v>
      </c>
      <c r="F58" s="183">
        <f>F44-'Table 1 ED2 Detailed'!F91</f>
        <v>0</v>
      </c>
      <c r="G58" s="183">
        <f>G44-'Table 1 ED2 Detailed'!G91</f>
        <v>0</v>
      </c>
      <c r="H58" s="183">
        <f>H44-'Table 1 ED2 Detailed'!H91</f>
        <v>0</v>
      </c>
      <c r="I58" s="183">
        <f>I44-'Table 1 ED2 Detailed'!I91</f>
        <v>0</v>
      </c>
      <c r="J58" s="212"/>
    </row>
    <row r="59" spans="1:21" x14ac:dyDescent="0.25">
      <c r="D59" s="158">
        <f>D44-'[1]R14 Allowed Revenue Summary'!N$18</f>
        <v>0</v>
      </c>
      <c r="E59" s="158"/>
      <c r="F59" s="158"/>
      <c r="G59" s="158"/>
      <c r="H59" s="158"/>
      <c r="I59" s="158"/>
      <c r="J59" s="158"/>
    </row>
    <row r="61" spans="1:21" x14ac:dyDescent="0.25">
      <c r="D61" s="179"/>
      <c r="E61" s="179"/>
      <c r="F61" s="183"/>
      <c r="G61" s="183"/>
      <c r="H61" s="183"/>
      <c r="I61" s="183"/>
      <c r="J61" s="183"/>
    </row>
    <row r="62" spans="1:21" x14ac:dyDescent="0.25">
      <c r="F62" s="183"/>
      <c r="G62" s="183"/>
      <c r="H62" s="183"/>
      <c r="I62" s="183"/>
      <c r="J62" s="183"/>
    </row>
    <row r="63" spans="1:21" x14ac:dyDescent="0.25">
      <c r="D63" s="179"/>
      <c r="E63" s="179"/>
      <c r="F63" s="183"/>
      <c r="G63" s="183"/>
      <c r="H63" s="183"/>
      <c r="I63" s="183"/>
      <c r="J63" s="183"/>
    </row>
    <row r="64" spans="1:21" x14ac:dyDescent="0.25">
      <c r="D64" s="179"/>
      <c r="E64" s="179"/>
      <c r="F64" s="183"/>
      <c r="G64" s="183"/>
      <c r="H64" s="183"/>
      <c r="I64" s="183"/>
      <c r="J64" s="183"/>
    </row>
    <row r="65" spans="4:10" x14ac:dyDescent="0.25">
      <c r="D65" s="179"/>
      <c r="E65" s="179"/>
      <c r="F65" s="183"/>
      <c r="G65" s="183"/>
      <c r="H65" s="183"/>
      <c r="I65" s="183"/>
      <c r="J65" s="183"/>
    </row>
    <row r="66" spans="4:10" x14ac:dyDescent="0.25">
      <c r="D66" s="179"/>
      <c r="E66" s="179"/>
      <c r="F66" s="183"/>
      <c r="G66" s="183"/>
      <c r="H66" s="183"/>
      <c r="I66" s="183"/>
      <c r="J66" s="183"/>
    </row>
    <row r="67" spans="4:10" x14ac:dyDescent="0.25">
      <c r="D67" s="179"/>
      <c r="E67" s="179"/>
      <c r="F67" s="183"/>
      <c r="G67" s="183"/>
      <c r="H67" s="183"/>
      <c r="I67" s="183"/>
      <c r="J67" s="183"/>
    </row>
    <row r="68" spans="4:10" x14ac:dyDescent="0.25">
      <c r="D68" s="179"/>
      <c r="E68" s="179"/>
      <c r="F68" s="183"/>
      <c r="G68" s="183"/>
      <c r="H68" s="183"/>
      <c r="I68" s="183"/>
      <c r="J68" s="183"/>
    </row>
    <row r="69" spans="4:10" x14ac:dyDescent="0.25">
      <c r="D69" s="179"/>
      <c r="E69" s="179"/>
    </row>
    <row r="70" spans="4:10" x14ac:dyDescent="0.25">
      <c r="D70" s="179"/>
      <c r="E70" s="179"/>
    </row>
    <row r="71" spans="4:10" x14ac:dyDescent="0.25">
      <c r="D71" s="179"/>
      <c r="E71" s="179"/>
    </row>
    <row r="72" spans="4:10" x14ac:dyDescent="0.25">
      <c r="D72" s="179"/>
      <c r="E72" s="179"/>
    </row>
    <row r="73" spans="4:10" x14ac:dyDescent="0.25">
      <c r="D73" s="179"/>
      <c r="E73" s="179"/>
    </row>
    <row r="74" spans="4:10" x14ac:dyDescent="0.25">
      <c r="D74" s="179"/>
      <c r="E74" s="179"/>
    </row>
    <row r="75" spans="4:10" x14ac:dyDescent="0.25">
      <c r="D75" s="179"/>
      <c r="E75" s="179"/>
    </row>
    <row r="76" spans="4:10" x14ac:dyDescent="0.25">
      <c r="D76" s="179"/>
      <c r="E76" s="179"/>
    </row>
    <row r="77" spans="4:10" x14ac:dyDescent="0.25">
      <c r="D77" s="179"/>
      <c r="E77" s="179"/>
    </row>
    <row r="78" spans="4:10" x14ac:dyDescent="0.25">
      <c r="D78" s="179"/>
      <c r="E78" s="179"/>
    </row>
    <row r="79" spans="4:10" x14ac:dyDescent="0.25">
      <c r="D79" s="179"/>
      <c r="E79" s="179"/>
    </row>
    <row r="80" spans="4:10" x14ac:dyDescent="0.25">
      <c r="D80" s="179"/>
      <c r="E80" s="179"/>
    </row>
    <row r="81" spans="4:5" x14ac:dyDescent="0.25">
      <c r="D81" s="179"/>
      <c r="E81" s="179"/>
    </row>
    <row r="82" spans="4:5" x14ac:dyDescent="0.25">
      <c r="D82" s="179"/>
      <c r="E82" s="179"/>
    </row>
    <row r="83" spans="4:5" x14ac:dyDescent="0.25">
      <c r="D83" s="179"/>
      <c r="E83" s="179"/>
    </row>
    <row r="84" spans="4:5" x14ac:dyDescent="0.25">
      <c r="D84" s="179"/>
      <c r="E84" s="179"/>
    </row>
    <row r="85" spans="4:5" x14ac:dyDescent="0.25">
      <c r="D85" s="179"/>
      <c r="E85" s="179"/>
    </row>
    <row r="86" spans="4:5" x14ac:dyDescent="0.25">
      <c r="D86" s="179"/>
      <c r="E86" s="179"/>
    </row>
    <row r="87" spans="4:5" x14ac:dyDescent="0.25">
      <c r="D87" s="179"/>
      <c r="E87" s="179"/>
    </row>
    <row r="88" spans="4:5" x14ac:dyDescent="0.25">
      <c r="D88" s="179"/>
      <c r="E88" s="179"/>
    </row>
    <row r="89" spans="4:5" x14ac:dyDescent="0.25">
      <c r="D89" s="179"/>
      <c r="E89" s="179"/>
    </row>
    <row r="90" spans="4:5" x14ac:dyDescent="0.25">
      <c r="D90" s="179"/>
      <c r="E90" s="179"/>
    </row>
    <row r="91" spans="4:5" x14ac:dyDescent="0.25">
      <c r="D91" s="179"/>
      <c r="E91" s="179"/>
    </row>
    <row r="92" spans="4:5" x14ac:dyDescent="0.25">
      <c r="D92" s="179"/>
      <c r="E92" s="179"/>
    </row>
    <row r="93" spans="4:5" x14ac:dyDescent="0.25">
      <c r="D93" s="179"/>
      <c r="E93" s="179"/>
    </row>
    <row r="94" spans="4:5" x14ac:dyDescent="0.25">
      <c r="D94" s="179"/>
      <c r="E94" s="179"/>
    </row>
    <row r="95" spans="4:5" x14ac:dyDescent="0.25">
      <c r="D95" s="179"/>
      <c r="E95" s="179"/>
    </row>
    <row r="96" spans="4:5" x14ac:dyDescent="0.25">
      <c r="D96" s="179"/>
      <c r="E96" s="179"/>
    </row>
    <row r="97" spans="4:5" x14ac:dyDescent="0.25">
      <c r="D97" s="179"/>
      <c r="E97" s="179"/>
    </row>
    <row r="98" spans="4:5" x14ac:dyDescent="0.25">
      <c r="D98" s="179"/>
      <c r="E98" s="179"/>
    </row>
    <row r="99" spans="4:5" x14ac:dyDescent="0.25">
      <c r="D99" s="179"/>
      <c r="E99" s="179"/>
    </row>
    <row r="100" spans="4:5" x14ac:dyDescent="0.25">
      <c r="D100" s="179"/>
      <c r="E100" s="179"/>
    </row>
    <row r="101" spans="4:5" x14ac:dyDescent="0.25">
      <c r="D101" s="179"/>
      <c r="E101" s="179"/>
    </row>
    <row r="102" spans="4:5" x14ac:dyDescent="0.25">
      <c r="D102" s="179"/>
      <c r="E102" s="179"/>
    </row>
    <row r="103" spans="4:5" x14ac:dyDescent="0.25">
      <c r="D103" s="179"/>
      <c r="E103" s="179"/>
    </row>
    <row r="104" spans="4:5" x14ac:dyDescent="0.25">
      <c r="D104" s="179"/>
      <c r="E104" s="179"/>
    </row>
    <row r="105" spans="4:5" x14ac:dyDescent="0.25">
      <c r="D105" s="179"/>
      <c r="E105" s="179"/>
    </row>
    <row r="106" spans="4:5" x14ac:dyDescent="0.25">
      <c r="D106" s="179"/>
      <c r="E106" s="179"/>
    </row>
    <row r="107" spans="4:5" x14ac:dyDescent="0.25">
      <c r="D107" s="179"/>
      <c r="E107" s="179"/>
    </row>
    <row r="108" spans="4:5" x14ac:dyDescent="0.25">
      <c r="D108" s="179"/>
      <c r="E108" s="179"/>
    </row>
    <row r="109" spans="4:5" x14ac:dyDescent="0.25">
      <c r="D109" s="179"/>
      <c r="E109" s="179"/>
    </row>
    <row r="110" spans="4:5" x14ac:dyDescent="0.25">
      <c r="D110" s="179"/>
      <c r="E110" s="179"/>
    </row>
    <row r="111" spans="4:5" x14ac:dyDescent="0.25">
      <c r="D111" s="179"/>
      <c r="E111" s="179"/>
    </row>
    <row r="112" spans="4:5" x14ac:dyDescent="0.25">
      <c r="D112" s="179"/>
      <c r="E112" s="179"/>
    </row>
    <row r="113" spans="4:5" x14ac:dyDescent="0.25">
      <c r="D113" s="179"/>
      <c r="E113" s="179"/>
    </row>
  </sheetData>
  <mergeCells count="2">
    <mergeCell ref="A29:A30"/>
    <mergeCell ref="A32:A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E10" sqref="E10"/>
    </sheetView>
  </sheetViews>
  <sheetFormatPr defaultColWidth="9.140625" defaultRowHeight="15" x14ac:dyDescent="0.25"/>
  <cols>
    <col min="1" max="1" width="48.7109375" style="193" customWidth="1"/>
    <col min="2" max="2" width="11.42578125" style="193" customWidth="1"/>
    <col min="3" max="3" width="13.28515625" style="193" bestFit="1" customWidth="1"/>
    <col min="4" max="4" width="9.140625" style="193"/>
    <col min="5" max="5" width="12.42578125" style="193" customWidth="1"/>
    <col min="6" max="7" width="9.140625" style="193"/>
    <col min="8" max="8" width="10.42578125" style="193" customWidth="1"/>
    <col min="9" max="16" width="9.140625" style="193"/>
    <col min="17" max="17" width="13.85546875" style="193" bestFit="1" customWidth="1"/>
    <col min="18" max="16384" width="9.140625" style="193"/>
  </cols>
  <sheetData>
    <row r="1" spans="1:17" ht="15.75" x14ac:dyDescent="0.25">
      <c r="A1" s="159" t="s">
        <v>200</v>
      </c>
      <c r="B1" s="160" t="str">
        <f>Table1!B1</f>
        <v>NGED South West</v>
      </c>
      <c r="C1" s="160"/>
      <c r="D1" s="160"/>
      <c r="E1" s="160"/>
      <c r="F1" s="160"/>
      <c r="G1" s="160"/>
      <c r="H1" s="160"/>
      <c r="I1" s="160"/>
      <c r="J1" s="160"/>
    </row>
    <row r="2" spans="1:17" ht="15.75" x14ac:dyDescent="0.25">
      <c r="A2" s="159" t="s">
        <v>201</v>
      </c>
      <c r="B2" s="161">
        <f>Table1!B2</f>
        <v>45505</v>
      </c>
      <c r="C2" s="160"/>
      <c r="D2" s="160"/>
      <c r="E2" s="160"/>
      <c r="F2" s="160"/>
      <c r="G2" s="160"/>
      <c r="H2" s="160"/>
      <c r="I2" s="160"/>
      <c r="J2" s="160"/>
    </row>
    <row r="3" spans="1:17" ht="15.75" x14ac:dyDescent="0.25">
      <c r="A3" s="159" t="s">
        <v>325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7" ht="15.75" x14ac:dyDescent="0.25">
      <c r="A4" s="194" t="s">
        <v>190</v>
      </c>
      <c r="B4" s="195" t="s">
        <v>1</v>
      </c>
      <c r="C4" s="196"/>
      <c r="D4" s="196"/>
      <c r="E4" s="195" t="s">
        <v>2</v>
      </c>
      <c r="F4" s="197"/>
      <c r="G4" s="198"/>
      <c r="H4" s="195" t="s">
        <v>3</v>
      </c>
      <c r="I4" s="199"/>
      <c r="J4" s="200"/>
    </row>
    <row r="5" spans="1:17" ht="15.6" customHeight="1" x14ac:dyDescent="0.25">
      <c r="A5" s="194" t="s">
        <v>95</v>
      </c>
      <c r="B5" s="218" t="s">
        <v>326</v>
      </c>
      <c r="C5" s="219"/>
      <c r="D5" s="220"/>
      <c r="E5" s="218" t="s">
        <v>327</v>
      </c>
      <c r="F5" s="219"/>
      <c r="G5" s="220"/>
      <c r="H5" s="221" t="s">
        <v>328</v>
      </c>
      <c r="I5" s="222"/>
      <c r="J5" s="223"/>
    </row>
    <row r="6" spans="1:17" ht="15.75" x14ac:dyDescent="0.25">
      <c r="A6" s="194" t="s">
        <v>329</v>
      </c>
      <c r="B6" s="201" t="s">
        <v>330</v>
      </c>
      <c r="C6" s="201" t="s">
        <v>331</v>
      </c>
      <c r="D6" s="201" t="s">
        <v>332</v>
      </c>
      <c r="E6" s="201" t="s">
        <v>330</v>
      </c>
      <c r="F6" s="201" t="s">
        <v>331</v>
      </c>
      <c r="G6" s="202" t="s">
        <v>332</v>
      </c>
      <c r="H6" s="203" t="s">
        <v>330</v>
      </c>
      <c r="I6" s="203" t="s">
        <v>331</v>
      </c>
      <c r="J6" s="203" t="s">
        <v>332</v>
      </c>
    </row>
    <row r="7" spans="1:17" ht="15.75" x14ac:dyDescent="0.25">
      <c r="A7" s="204" t="s">
        <v>333</v>
      </c>
      <c r="B7" s="205">
        <f>-Table1!E44*0.01+C7</f>
        <v>-17.20249838011371</v>
      </c>
      <c r="C7" s="205">
        <f>Table1!E53</f>
        <v>-13.310395013577931</v>
      </c>
      <c r="D7" s="205">
        <f>Table1!E44*0.01+C7</f>
        <v>-9.4182916470421514</v>
      </c>
      <c r="E7" s="205">
        <f>-Table1!F44*0.01+F7</f>
        <v>29.500504244431433</v>
      </c>
      <c r="F7" s="205">
        <f>Table1!F53</f>
        <v>34.144353636029848</v>
      </c>
      <c r="G7" s="205">
        <f>Table1!F44*0.01+F7</f>
        <v>38.788203027628263</v>
      </c>
      <c r="H7" s="206"/>
      <c r="I7" s="206"/>
      <c r="J7" s="206"/>
    </row>
    <row r="8" spans="1:17" ht="15.75" x14ac:dyDescent="0.25">
      <c r="A8" s="204" t="s">
        <v>334</v>
      </c>
      <c r="B8" s="207"/>
      <c r="C8" s="207"/>
      <c r="D8" s="207"/>
      <c r="E8" s="208">
        <f>F8-Table1!F9*0.02</f>
        <v>25.764547686827317</v>
      </c>
      <c r="F8" s="208">
        <f>Table1!F9</f>
        <v>26.290354782476854</v>
      </c>
      <c r="G8" s="208">
        <f>F8+Table1!F9*0.02</f>
        <v>26.81616187812639</v>
      </c>
      <c r="H8" s="208">
        <f>I8-Table1!G9*0.02</f>
        <v>0</v>
      </c>
      <c r="I8" s="208">
        <f>Table1!G9</f>
        <v>0</v>
      </c>
      <c r="J8" s="208">
        <f>I8+Table1!G9*0.02</f>
        <v>0</v>
      </c>
      <c r="Q8" s="209"/>
    </row>
    <row r="9" spans="1:17" ht="15.75" x14ac:dyDescent="0.25">
      <c r="A9" s="204" t="s">
        <v>335</v>
      </c>
      <c r="B9" s="207"/>
      <c r="C9" s="207"/>
      <c r="D9" s="207"/>
      <c r="E9" s="208">
        <f>F9</f>
        <v>0.13285802647414099</v>
      </c>
      <c r="F9" s="208">
        <f>Table1!F8</f>
        <v>0.13285802647414099</v>
      </c>
      <c r="G9" s="208">
        <f>F9</f>
        <v>0.13285802647414099</v>
      </c>
      <c r="H9" s="208">
        <f>I9</f>
        <v>0.13835438736896669</v>
      </c>
      <c r="I9" s="208">
        <f>Table1!G8</f>
        <v>0.13835438736896669</v>
      </c>
      <c r="J9" s="208">
        <f t="shared" ref="J9:J14" si="0">I9</f>
        <v>0.13835438736896669</v>
      </c>
      <c r="Q9" s="209"/>
    </row>
    <row r="10" spans="1:17" ht="15.75" x14ac:dyDescent="0.25">
      <c r="A10" s="204" t="s">
        <v>336</v>
      </c>
      <c r="B10" s="207"/>
      <c r="C10" s="207"/>
      <c r="D10" s="207"/>
      <c r="E10" s="208">
        <f>F10</f>
        <v>1.3645098991658018</v>
      </c>
      <c r="F10" s="208">
        <f>Table1!F18</f>
        <v>1.3645098991658018</v>
      </c>
      <c r="G10" s="208">
        <f>F10</f>
        <v>1.3645098991658018</v>
      </c>
      <c r="H10" s="208">
        <f>I10</f>
        <v>0</v>
      </c>
      <c r="I10" s="208">
        <f>Table1!G18</f>
        <v>0</v>
      </c>
      <c r="J10" s="208">
        <f t="shared" si="0"/>
        <v>0</v>
      </c>
      <c r="Q10" s="209"/>
    </row>
    <row r="11" spans="1:17" ht="15.75" x14ac:dyDescent="0.25">
      <c r="A11" s="204" t="s">
        <v>337</v>
      </c>
      <c r="B11" s="207"/>
      <c r="C11" s="207"/>
      <c r="D11" s="207"/>
      <c r="E11" s="208">
        <f>F11</f>
        <v>4.8417444228738811</v>
      </c>
      <c r="F11" s="208">
        <f>Table1!F23</f>
        <v>4.8417444228738811</v>
      </c>
      <c r="G11" s="208">
        <f>F11</f>
        <v>4.8417444228738811</v>
      </c>
      <c r="H11" s="208">
        <f>MIN(Table1!D23:G23)</f>
        <v>0</v>
      </c>
      <c r="I11" s="208">
        <f>Table1!G23</f>
        <v>0</v>
      </c>
      <c r="J11" s="208">
        <f t="shared" si="0"/>
        <v>0</v>
      </c>
      <c r="Q11" s="209"/>
    </row>
    <row r="12" spans="1:17" ht="15.75" x14ac:dyDescent="0.25">
      <c r="A12" s="204" t="s">
        <v>338</v>
      </c>
      <c r="B12" s="207"/>
      <c r="C12" s="207"/>
      <c r="D12" s="207"/>
      <c r="E12" s="208">
        <f>F12</f>
        <v>5.0179401054030386</v>
      </c>
      <c r="F12" s="208">
        <f>Table1!F24</f>
        <v>5.0179401054030386</v>
      </c>
      <c r="G12" s="208">
        <f>F12</f>
        <v>5.0179401054030386</v>
      </c>
      <c r="H12" s="208">
        <f>MIN(Table1!D24:G24)</f>
        <v>0</v>
      </c>
      <c r="I12" s="208">
        <f>Table1!G24</f>
        <v>0</v>
      </c>
      <c r="J12" s="208">
        <f t="shared" si="0"/>
        <v>0</v>
      </c>
    </row>
    <row r="13" spans="1:17" ht="15.75" x14ac:dyDescent="0.25">
      <c r="A13" s="204" t="s">
        <v>339</v>
      </c>
      <c r="B13" s="207"/>
      <c r="C13" s="207"/>
      <c r="D13" s="207"/>
      <c r="E13" s="208">
        <f t="shared" ref="E13" si="1">F13</f>
        <v>0</v>
      </c>
      <c r="F13" s="208">
        <f>Table1!F25</f>
        <v>0</v>
      </c>
      <c r="G13" s="208">
        <f t="shared" ref="G13" si="2">F13</f>
        <v>0</v>
      </c>
      <c r="H13" s="208">
        <f>I13</f>
        <v>0</v>
      </c>
      <c r="I13" s="208">
        <f>Table1!G25</f>
        <v>0</v>
      </c>
      <c r="J13" s="208">
        <f t="shared" si="0"/>
        <v>0</v>
      </c>
    </row>
    <row r="14" spans="1:17" ht="15.75" x14ac:dyDescent="0.25">
      <c r="A14" s="204" t="s">
        <v>340</v>
      </c>
      <c r="B14" s="207"/>
      <c r="C14" s="207"/>
      <c r="D14" s="207"/>
      <c r="E14" s="208">
        <f>F14</f>
        <v>0.85140250121313232</v>
      </c>
      <c r="F14" s="208">
        <f>Table1!F26</f>
        <v>0.85140250121313232</v>
      </c>
      <c r="G14" s="208">
        <f>F14</f>
        <v>0.85140250121313232</v>
      </c>
      <c r="H14" s="208">
        <f>MIN(Table1!D26:G26)</f>
        <v>0</v>
      </c>
      <c r="I14" s="208">
        <f>Table1!G26</f>
        <v>0</v>
      </c>
      <c r="J14" s="208">
        <f t="shared" si="0"/>
        <v>0</v>
      </c>
    </row>
    <row r="15" spans="1:17" ht="15.75" x14ac:dyDescent="0.25">
      <c r="A15" s="204" t="s">
        <v>341</v>
      </c>
      <c r="B15" s="207"/>
      <c r="C15" s="207"/>
      <c r="D15" s="207"/>
      <c r="E15" s="208">
        <f>MIN(Table1!D30:E30)</f>
        <v>-0.17758700999999999</v>
      </c>
      <c r="F15" s="208">
        <f>Table1!F30</f>
        <v>0</v>
      </c>
      <c r="G15" s="208">
        <v>0</v>
      </c>
      <c r="H15" s="208">
        <f>I15</f>
        <v>0</v>
      </c>
      <c r="I15" s="208">
        <f>Table1!G30</f>
        <v>0</v>
      </c>
      <c r="J15" s="208">
        <v>0</v>
      </c>
    </row>
    <row r="16" spans="1:17" ht="15.75" x14ac:dyDescent="0.25">
      <c r="A16" s="204" t="s">
        <v>342</v>
      </c>
      <c r="B16" s="207"/>
      <c r="C16" s="207"/>
      <c r="D16" s="207"/>
      <c r="E16" s="208">
        <v>0</v>
      </c>
      <c r="F16" s="208">
        <f>Table1!F28</f>
        <v>0</v>
      </c>
      <c r="G16" s="208">
        <f>Table1!F11*0.005</f>
        <v>2.237783106429216</v>
      </c>
      <c r="H16" s="208">
        <f>MIN(Table1!D28:F28)</f>
        <v>0</v>
      </c>
      <c r="I16" s="208">
        <f>Table1!G28</f>
        <v>0</v>
      </c>
      <c r="J16" s="208">
        <f>Table1!G11*0.005</f>
        <v>2.1554780056003557</v>
      </c>
    </row>
    <row r="17" spans="1:10" ht="15.75" x14ac:dyDescent="0.25">
      <c r="A17" s="204" t="s">
        <v>343</v>
      </c>
      <c r="B17" s="207"/>
      <c r="C17" s="207"/>
      <c r="D17" s="207"/>
      <c r="E17" s="208">
        <v>0</v>
      </c>
      <c r="F17" s="208">
        <v>0</v>
      </c>
      <c r="G17" s="208">
        <v>0</v>
      </c>
      <c r="H17" s="208">
        <v>0</v>
      </c>
      <c r="I17" s="208">
        <v>0</v>
      </c>
      <c r="J17" s="208">
        <f>G17</f>
        <v>0</v>
      </c>
    </row>
    <row r="18" spans="1:10" ht="15.75" x14ac:dyDescent="0.25">
      <c r="A18" s="204" t="s">
        <v>344</v>
      </c>
      <c r="B18" s="207"/>
      <c r="C18" s="207"/>
      <c r="D18" s="207"/>
      <c r="E18" s="208">
        <f>-SUM(F8:F17)+SUM(E8:E17)+F18*0.98-D7+C7</f>
        <v>450.50174290445955</v>
      </c>
      <c r="F18" s="208">
        <f>Table1!F44</f>
        <v>464.38493915984168</v>
      </c>
      <c r="G18" s="208">
        <f>-SUM(F8:F17)+SUM(G8:G17)+F18*1.02+C7-B7</f>
        <v>480.32833151165306</v>
      </c>
      <c r="H18" s="208">
        <f>-SUM(I8:I17)+SUM(H8:H17)+I18-G7+F7</f>
        <v>392.47090375019764</v>
      </c>
      <c r="I18" s="208">
        <f>Table1!G44</f>
        <v>397.11475314179603</v>
      </c>
      <c r="J18" s="208">
        <f>-SUM(I8:I17)+SUM(J8:J17)+I18+F7-E7</f>
        <v>403.91408053899477</v>
      </c>
    </row>
    <row r="19" spans="1:10" ht="15.75" x14ac:dyDescent="0.25">
      <c r="A19" s="204" t="s">
        <v>345</v>
      </c>
      <c r="B19" s="207"/>
      <c r="C19" s="207"/>
      <c r="D19" s="207"/>
      <c r="E19" s="208">
        <f>F19*0.97</f>
        <v>483.57341401199534</v>
      </c>
      <c r="F19" s="208">
        <f>Table1!F52</f>
        <v>498.52929279587153</v>
      </c>
      <c r="G19" s="208">
        <f>F19*1.03</f>
        <v>513.48517157974766</v>
      </c>
      <c r="H19" s="208">
        <f>H18*0.97</f>
        <v>380.6967766376917</v>
      </c>
      <c r="I19" s="208">
        <f>Table1!G52</f>
        <v>416.19988552826158</v>
      </c>
      <c r="J19" s="208">
        <f>J18*1.03</f>
        <v>416.03150295516463</v>
      </c>
    </row>
    <row r="20" spans="1:10" ht="15.75" x14ac:dyDescent="0.25">
      <c r="A20" s="210"/>
    </row>
    <row r="21" spans="1:10" x14ac:dyDescent="0.25">
      <c r="A21" s="224"/>
      <c r="B21" s="224"/>
      <c r="C21" s="224"/>
      <c r="D21" s="224"/>
      <c r="E21" s="224"/>
      <c r="F21" s="224"/>
      <c r="G21" s="224"/>
      <c r="H21" s="224"/>
      <c r="I21" s="224"/>
      <c r="J21" s="224"/>
    </row>
    <row r="22" spans="1:10" x14ac:dyDescent="0.25">
      <c r="A22" s="224"/>
      <c r="B22" s="224"/>
      <c r="C22" s="224"/>
      <c r="D22" s="224"/>
      <c r="E22" s="224"/>
      <c r="F22" s="224"/>
      <c r="G22" s="224"/>
      <c r="H22" s="224"/>
      <c r="I22" s="224"/>
      <c r="J22" s="224"/>
    </row>
    <row r="23" spans="1:10" x14ac:dyDescent="0.25">
      <c r="A23" s="224"/>
      <c r="B23" s="224"/>
      <c r="C23" s="224"/>
      <c r="D23" s="224"/>
      <c r="E23" s="224"/>
      <c r="F23" s="224"/>
      <c r="G23" s="224"/>
      <c r="H23" s="224"/>
      <c r="I23" s="224"/>
      <c r="J23" s="224"/>
    </row>
    <row r="24" spans="1:10" x14ac:dyDescent="0.25">
      <c r="A24" s="224"/>
      <c r="B24" s="224"/>
      <c r="C24" s="224"/>
      <c r="D24" s="224"/>
      <c r="E24" s="224"/>
      <c r="F24" s="224"/>
      <c r="G24" s="224"/>
      <c r="H24" s="224"/>
      <c r="I24" s="224"/>
      <c r="J24" s="224"/>
    </row>
    <row r="25" spans="1:10" x14ac:dyDescent="0.25">
      <c r="A25" s="224"/>
      <c r="B25" s="224"/>
      <c r="C25" s="224"/>
      <c r="D25" s="224"/>
      <c r="E25" s="224"/>
      <c r="F25" s="224"/>
      <c r="G25" s="224"/>
      <c r="H25" s="224"/>
      <c r="I25" s="224"/>
      <c r="J25" s="224"/>
    </row>
    <row r="26" spans="1:10" x14ac:dyDescent="0.25">
      <c r="A26" s="224"/>
      <c r="B26" s="224"/>
      <c r="C26" s="224"/>
      <c r="D26" s="224"/>
      <c r="E26" s="224"/>
      <c r="F26" s="224"/>
      <c r="G26" s="224"/>
      <c r="H26" s="224"/>
      <c r="I26" s="224"/>
      <c r="J26" s="224"/>
    </row>
  </sheetData>
  <mergeCells count="4">
    <mergeCell ref="B5:D5"/>
    <mergeCell ref="E5:G5"/>
    <mergeCell ref="H5:J5"/>
    <mergeCell ref="A21:J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topLeftCell="A64" zoomScale="68" zoomScaleNormal="68" workbookViewId="0">
      <selection activeCell="E101" sqref="E101"/>
    </sheetView>
  </sheetViews>
  <sheetFormatPr defaultRowHeight="15" x14ac:dyDescent="0.25"/>
  <cols>
    <col min="1" max="1" width="86.7109375" bestFit="1" customWidth="1"/>
    <col min="2" max="2" width="19.85546875" bestFit="1" customWidth="1"/>
    <col min="3" max="3" width="19.7109375" bestFit="1" customWidth="1"/>
    <col min="4" max="5" width="11.42578125" bestFit="1" customWidth="1"/>
    <col min="6" max="7" width="11.7109375" bestFit="1" customWidth="1"/>
    <col min="8" max="8" width="11.42578125" customWidth="1"/>
    <col min="9" max="9" width="11.7109375" bestFit="1" customWidth="1"/>
  </cols>
  <sheetData>
    <row r="1" spans="1:9" ht="15.75" thickBot="1" x14ac:dyDescent="0.3">
      <c r="A1" s="11" t="s">
        <v>324</v>
      </c>
      <c r="B1" s="12">
        <v>45505</v>
      </c>
      <c r="C1" s="13"/>
      <c r="D1" s="13"/>
      <c r="E1" s="13"/>
      <c r="F1" s="13"/>
      <c r="G1" s="13"/>
      <c r="H1" s="13"/>
      <c r="I1" s="14"/>
    </row>
    <row r="2" spans="1:9" x14ac:dyDescent="0.25">
      <c r="A2" s="70" t="s">
        <v>95</v>
      </c>
      <c r="B2" s="71"/>
      <c r="C2" s="71"/>
      <c r="D2" s="71" t="s">
        <v>0</v>
      </c>
      <c r="E2" s="71" t="s">
        <v>1</v>
      </c>
      <c r="F2" s="71" t="s">
        <v>2</v>
      </c>
      <c r="G2" s="71" t="s">
        <v>3</v>
      </c>
      <c r="H2" s="71" t="s">
        <v>4</v>
      </c>
      <c r="I2" s="72" t="s">
        <v>70</v>
      </c>
    </row>
    <row r="3" spans="1:9" x14ac:dyDescent="0.25">
      <c r="A3" s="75" t="s">
        <v>96</v>
      </c>
      <c r="B3" s="76" t="s">
        <v>6</v>
      </c>
      <c r="C3" s="76"/>
      <c r="D3" s="76"/>
      <c r="E3" s="79">
        <f>[9]Totex!AR12</f>
        <v>30.048095065410656</v>
      </c>
      <c r="F3" s="79">
        <f>[9]Totex!AS12</f>
        <v>26.97331168727187</v>
      </c>
      <c r="G3" s="79">
        <f>[9]Totex!AT12</f>
        <v>28.779158607315626</v>
      </c>
      <c r="H3" s="79">
        <f>[9]Totex!AU12</f>
        <v>21.648669184869625</v>
      </c>
      <c r="I3" s="80">
        <f>[9]Totex!AV12</f>
        <v>19.45341381747026</v>
      </c>
    </row>
    <row r="4" spans="1:9" x14ac:dyDescent="0.25">
      <c r="A4" s="75" t="s">
        <v>97</v>
      </c>
      <c r="B4" s="76" t="s">
        <v>6</v>
      </c>
      <c r="C4" s="76"/>
      <c r="D4" s="76"/>
      <c r="E4" s="79">
        <f>[9]Totex!AR13</f>
        <v>85.216184495796426</v>
      </c>
      <c r="F4" s="79">
        <f>[9]Totex!AS13</f>
        <v>85.140727131637561</v>
      </c>
      <c r="G4" s="79">
        <f>[9]Totex!AT13</f>
        <v>90.032081924004331</v>
      </c>
      <c r="H4" s="79">
        <f>[9]Totex!AU13</f>
        <v>92.00223536478174</v>
      </c>
      <c r="I4" s="80">
        <f>[9]Totex!AV13</f>
        <v>87.065884591979909</v>
      </c>
    </row>
    <row r="5" spans="1:9" x14ac:dyDescent="0.25">
      <c r="A5" s="75" t="s">
        <v>98</v>
      </c>
      <c r="B5" s="76" t="s">
        <v>6</v>
      </c>
      <c r="C5" s="76"/>
      <c r="D5" s="76"/>
      <c r="E5" s="79">
        <f>[9]Totex!AR14</f>
        <v>27.128641169202957</v>
      </c>
      <c r="F5" s="79">
        <f>[9]Totex!AS14</f>
        <v>33.484512195339413</v>
      </c>
      <c r="G5" s="79">
        <f>[9]Totex!AT14</f>
        <v>38.318796473681125</v>
      </c>
      <c r="H5" s="79">
        <f>[9]Totex!AU14</f>
        <v>24.16530348861879</v>
      </c>
      <c r="I5" s="80">
        <f>[9]Totex!AV14</f>
        <v>21.305900711504425</v>
      </c>
    </row>
    <row r="6" spans="1:9" x14ac:dyDescent="0.25">
      <c r="A6" s="75" t="s">
        <v>99</v>
      </c>
      <c r="B6" s="76" t="s">
        <v>6</v>
      </c>
      <c r="C6" s="76"/>
      <c r="D6" s="76"/>
      <c r="E6" s="79">
        <f>[9]Totex!AR15</f>
        <v>22.921608197530176</v>
      </c>
      <c r="F6" s="79">
        <f>[9]Totex!AS15</f>
        <v>22.810725004787034</v>
      </c>
      <c r="G6" s="79">
        <f>[9]Totex!AT15</f>
        <v>22.449292564284665</v>
      </c>
      <c r="H6" s="79">
        <f>[9]Totex!AU15</f>
        <v>22.544446081812371</v>
      </c>
      <c r="I6" s="80">
        <f>[9]Totex!AV15</f>
        <v>22.095362487250284</v>
      </c>
    </row>
    <row r="7" spans="1:9" x14ac:dyDescent="0.25">
      <c r="A7" s="75" t="s">
        <v>100</v>
      </c>
      <c r="B7" s="76" t="s">
        <v>6</v>
      </c>
      <c r="C7" s="76"/>
      <c r="D7" s="76"/>
      <c r="E7" s="79">
        <f>[9]Totex!AR16</f>
        <v>13.945588540052574</v>
      </c>
      <c r="F7" s="79">
        <f>[9]Totex!AS16</f>
        <v>13.882586418432309</v>
      </c>
      <c r="G7" s="79">
        <f>[9]Totex!AT16</f>
        <v>13.605323794748221</v>
      </c>
      <c r="H7" s="79">
        <f>[9]Totex!AU16</f>
        <v>13.553841684388335</v>
      </c>
      <c r="I7" s="80">
        <f>[9]Totex!AV16</f>
        <v>13.529786350704512</v>
      </c>
    </row>
    <row r="8" spans="1:9" x14ac:dyDescent="0.25">
      <c r="A8" s="75" t="s">
        <v>101</v>
      </c>
      <c r="B8" s="76" t="s">
        <v>6</v>
      </c>
      <c r="C8" s="76"/>
      <c r="D8" s="76"/>
      <c r="E8" s="79">
        <f>[9]Totex!AR17</f>
        <v>15.72251631810664</v>
      </c>
      <c r="F8" s="79">
        <f>[9]Totex!AS17</f>
        <v>15.464024495136576</v>
      </c>
      <c r="G8" s="79">
        <f>[9]Totex!AT17</f>
        <v>15.33192794349212</v>
      </c>
      <c r="H8" s="79">
        <f>[9]Totex!AU17</f>
        <v>15.073987240248716</v>
      </c>
      <c r="I8" s="80">
        <f>[9]Totex!AV17</f>
        <v>14.7531793068885</v>
      </c>
    </row>
    <row r="9" spans="1:9" x14ac:dyDescent="0.25">
      <c r="A9" s="75" t="s">
        <v>102</v>
      </c>
      <c r="B9" s="76" t="s">
        <v>6</v>
      </c>
      <c r="C9" s="76"/>
      <c r="D9" s="76"/>
      <c r="E9" s="79">
        <f>[9]Totex!AR18</f>
        <v>78.640817105798348</v>
      </c>
      <c r="F9" s="79">
        <f>[9]Totex!AS18</f>
        <v>76.428499486887731</v>
      </c>
      <c r="G9" s="79">
        <f>[9]Totex!AT18</f>
        <v>73.350900558913395</v>
      </c>
      <c r="H9" s="79">
        <f>[9]Totex!AU18</f>
        <v>72.065914442014943</v>
      </c>
      <c r="I9" s="80">
        <f>[9]Totex!AV18</f>
        <v>72.406923985575006</v>
      </c>
    </row>
    <row r="10" spans="1:9" x14ac:dyDescent="0.25">
      <c r="A10" s="64" t="s">
        <v>103</v>
      </c>
      <c r="B10" s="65" t="s">
        <v>6</v>
      </c>
      <c r="C10" s="65"/>
      <c r="D10" s="65"/>
      <c r="E10" s="84">
        <f>SUM(E3:E9)</f>
        <v>273.62345089189779</v>
      </c>
      <c r="F10" s="84">
        <f t="shared" ref="F10:I10" si="0">SUM(F3:F9)</f>
        <v>274.18438641949251</v>
      </c>
      <c r="G10" s="84">
        <f t="shared" si="0"/>
        <v>281.86748186643945</v>
      </c>
      <c r="H10" s="84">
        <f t="shared" si="0"/>
        <v>261.0543974867345</v>
      </c>
      <c r="I10" s="85">
        <f t="shared" si="0"/>
        <v>250.61045125137292</v>
      </c>
    </row>
    <row r="11" spans="1:9" x14ac:dyDescent="0.25">
      <c r="A11" s="97" t="s">
        <v>105</v>
      </c>
      <c r="B11" s="81" t="s">
        <v>6</v>
      </c>
      <c r="C11" s="81" t="s">
        <v>118</v>
      </c>
      <c r="D11" s="77"/>
      <c r="E11" s="82">
        <f>[9]InputSummary!AR61</f>
        <v>17.984085169260702</v>
      </c>
      <c r="F11" s="82">
        <f>[9]InputSummary!AS61</f>
        <v>27.628929394168772</v>
      </c>
      <c r="G11" s="82">
        <f>[9]InputSummary!AT61</f>
        <v>28.823278830773361</v>
      </c>
      <c r="H11" s="82">
        <f>[9]InputSummary!AU61</f>
        <v>16.378231280279138</v>
      </c>
      <c r="I11" s="83">
        <f>[9]InputSummary!AV61</f>
        <v>10.820511779607095</v>
      </c>
    </row>
    <row r="12" spans="1:9" x14ac:dyDescent="0.25">
      <c r="A12" s="97" t="s">
        <v>106</v>
      </c>
      <c r="B12" s="81" t="s">
        <v>6</v>
      </c>
      <c r="C12" s="81" t="s">
        <v>119</v>
      </c>
      <c r="D12" s="77"/>
      <c r="E12" s="82">
        <f>[9]InputSummary!AR62</f>
        <v>70.743279139221173</v>
      </c>
      <c r="F12" s="82">
        <f>[9]InputSummary!AS62</f>
        <v>79.014547932023916</v>
      </c>
      <c r="G12" s="82">
        <f>[9]InputSummary!AT62</f>
        <v>88.341094831603527</v>
      </c>
      <c r="H12" s="82">
        <f>[9]InputSummary!AU62</f>
        <v>86.161028238616964</v>
      </c>
      <c r="I12" s="83">
        <f>[9]InputSummary!AV62</f>
        <v>79.839851400448651</v>
      </c>
    </row>
    <row r="13" spans="1:9" x14ac:dyDescent="0.25">
      <c r="A13" s="97" t="s">
        <v>107</v>
      </c>
      <c r="B13" s="81" t="s">
        <v>6</v>
      </c>
      <c r="C13" s="81" t="s">
        <v>120</v>
      </c>
      <c r="D13" s="77"/>
      <c r="E13" s="82">
        <f>[9]InputSummary!AR63</f>
        <v>15.757204539166256</v>
      </c>
      <c r="F13" s="82">
        <f>[9]InputSummary!AS63</f>
        <v>38.737321746285808</v>
      </c>
      <c r="G13" s="82">
        <f>[9]InputSummary!AT63</f>
        <v>38.31127063501269</v>
      </c>
      <c r="H13" s="82">
        <f>[9]InputSummary!AU63</f>
        <v>19.777346342490471</v>
      </c>
      <c r="I13" s="83">
        <f>[9]InputSummary!AV63</f>
        <v>16.810982422494654</v>
      </c>
    </row>
    <row r="14" spans="1:9" x14ac:dyDescent="0.25">
      <c r="A14" s="97" t="s">
        <v>108</v>
      </c>
      <c r="B14" s="81" t="s">
        <v>6</v>
      </c>
      <c r="C14" s="81" t="s">
        <v>121</v>
      </c>
      <c r="D14" s="77"/>
      <c r="E14" s="82">
        <f>[9]InputSummary!AR64</f>
        <v>29.403938720712084</v>
      </c>
      <c r="F14" s="82">
        <f>[9]InputSummary!AS64</f>
        <v>24.478819439376512</v>
      </c>
      <c r="G14" s="82">
        <f>[9]InputSummary!AT64</f>
        <v>24.214687230533624</v>
      </c>
      <c r="H14" s="82">
        <f>[9]InputSummary!AU64</f>
        <v>24.158302834102201</v>
      </c>
      <c r="I14" s="83">
        <f>[9]InputSummary!AV64</f>
        <v>24.029584701360296</v>
      </c>
    </row>
    <row r="15" spans="1:9" x14ac:dyDescent="0.25">
      <c r="A15" s="97" t="s">
        <v>109</v>
      </c>
      <c r="B15" s="81" t="s">
        <v>6</v>
      </c>
      <c r="C15" s="81" t="s">
        <v>122</v>
      </c>
      <c r="D15" s="77"/>
      <c r="E15" s="82">
        <f>[9]InputSummary!AR65</f>
        <v>12.057500091675017</v>
      </c>
      <c r="F15" s="82">
        <f>[9]InputSummary!AS65</f>
        <v>13.162295874411299</v>
      </c>
      <c r="G15" s="82">
        <f>[9]InputSummary!AT65</f>
        <v>12.770974975266236</v>
      </c>
      <c r="H15" s="82">
        <f>[9]InputSummary!AU65</f>
        <v>12.61789495070976</v>
      </c>
      <c r="I15" s="83">
        <f>[9]InputSummary!AV65</f>
        <v>12.481868371421465</v>
      </c>
    </row>
    <row r="16" spans="1:9" x14ac:dyDescent="0.25">
      <c r="A16" s="97" t="s">
        <v>110</v>
      </c>
      <c r="B16" s="81" t="s">
        <v>6</v>
      </c>
      <c r="C16" s="81" t="s">
        <v>123</v>
      </c>
      <c r="D16" s="77"/>
      <c r="E16" s="82">
        <f>[9]InputSummary!AR66</f>
        <v>18.90042695263449</v>
      </c>
      <c r="F16" s="82">
        <f>[9]InputSummary!AS66</f>
        <v>17.607078399094931</v>
      </c>
      <c r="G16" s="82">
        <f>[9]InputSummary!AT66</f>
        <v>17.635316306739384</v>
      </c>
      <c r="H16" s="82">
        <f>[9]InputSummary!AU66</f>
        <v>16.971829953229193</v>
      </c>
      <c r="I16" s="83">
        <f>[9]InputSummary!AV66</f>
        <v>16.427818586802626</v>
      </c>
    </row>
    <row r="17" spans="1:9" x14ac:dyDescent="0.25">
      <c r="A17" s="97" t="s">
        <v>111</v>
      </c>
      <c r="B17" s="81" t="s">
        <v>6</v>
      </c>
      <c r="C17" s="81" t="s">
        <v>124</v>
      </c>
      <c r="D17" s="77"/>
      <c r="E17" s="82">
        <f>[9]InputSummary!AR67</f>
        <v>84.7987286498484</v>
      </c>
      <c r="F17" s="82">
        <f>[9]InputSummary!AS67</f>
        <v>88.239202647607684</v>
      </c>
      <c r="G17" s="82">
        <f>[9]InputSummary!AT67</f>
        <v>87.875472730886443</v>
      </c>
      <c r="H17" s="82">
        <f>[9]InputSummary!AU67</f>
        <v>88.104527032754419</v>
      </c>
      <c r="I17" s="83">
        <f>[9]InputSummary!AV67</f>
        <v>87.978104594837134</v>
      </c>
    </row>
    <row r="18" spans="1:9" x14ac:dyDescent="0.25">
      <c r="A18" s="66" t="s">
        <v>112</v>
      </c>
      <c r="B18" s="67" t="s">
        <v>6</v>
      </c>
      <c r="C18" s="67"/>
      <c r="D18" s="67"/>
      <c r="E18" s="86">
        <f>SUM(E11:E17)</f>
        <v>249.64516326251811</v>
      </c>
      <c r="F18" s="86">
        <f t="shared" ref="F18" si="1">SUM(F11:F17)</f>
        <v>288.86819543296889</v>
      </c>
      <c r="G18" s="86">
        <f t="shared" ref="G18" si="2">SUM(G11:G17)</f>
        <v>297.97209554081525</v>
      </c>
      <c r="H18" s="86">
        <f t="shared" ref="H18" si="3">SUM(H11:H17)</f>
        <v>264.16916063218218</v>
      </c>
      <c r="I18" s="87">
        <f t="shared" ref="I18" si="4">SUM(I11:I17)</f>
        <v>248.38872185697193</v>
      </c>
    </row>
    <row r="19" spans="1:9" x14ac:dyDescent="0.25">
      <c r="A19" s="68" t="s">
        <v>115</v>
      </c>
      <c r="B19" s="69" t="s">
        <v>6</v>
      </c>
      <c r="C19" s="69"/>
      <c r="D19" s="69"/>
      <c r="E19" s="88">
        <f>IF(E18&gt;0,(E18-E10)*0.5+E10,E10)</f>
        <v>261.63430707720795</v>
      </c>
      <c r="F19" s="88">
        <f t="shared" ref="F19:I19" si="5">IF(F18&gt;0,(F18-F10)*0.5+F10,F10)</f>
        <v>281.52629092623067</v>
      </c>
      <c r="G19" s="88">
        <f t="shared" si="5"/>
        <v>289.91978870362732</v>
      </c>
      <c r="H19" s="88">
        <f t="shared" si="5"/>
        <v>262.61177905945834</v>
      </c>
      <c r="I19" s="89">
        <f t="shared" si="5"/>
        <v>249.49958655417242</v>
      </c>
    </row>
    <row r="20" spans="1:9" x14ac:dyDescent="0.25">
      <c r="A20" s="73" t="s">
        <v>114</v>
      </c>
      <c r="B20" s="74" t="s">
        <v>6</v>
      </c>
      <c r="C20" s="74"/>
      <c r="D20" s="74"/>
      <c r="E20" s="90">
        <f>(1-[9]TIM!AR$53)*E19</f>
        <v>54.943204486213659</v>
      </c>
      <c r="F20" s="90">
        <f>(1-[9]TIM!AS$53)*F19</f>
        <v>59.120521094508433</v>
      </c>
      <c r="G20" s="90">
        <f>(1-[9]TIM!AT$53)*G19</f>
        <v>60.883155627761724</v>
      </c>
      <c r="H20" s="90">
        <f>(1-[9]TIM!AU$53)*H19</f>
        <v>55.148473602486241</v>
      </c>
      <c r="I20" s="91">
        <f>(1-[9]TIM!AV$53)*I19</f>
        <v>52.3949131763762</v>
      </c>
    </row>
    <row r="21" spans="1:9" x14ac:dyDescent="0.25">
      <c r="A21" s="96" t="s">
        <v>96</v>
      </c>
      <c r="B21" s="78" t="s">
        <v>6</v>
      </c>
      <c r="C21" s="78"/>
      <c r="D21" s="76"/>
      <c r="E21" s="92">
        <f>[9]Totex!AR23</f>
        <v>2.9535911323014599</v>
      </c>
      <c r="F21" s="92">
        <f>[9]Totex!AS23</f>
        <v>13.06871286680324</v>
      </c>
      <c r="G21" s="92">
        <f>[9]Totex!AT23</f>
        <v>36.417450114395393</v>
      </c>
      <c r="H21" s="92">
        <f>[9]Totex!AU23</f>
        <v>50.106254007695192</v>
      </c>
      <c r="I21" s="93">
        <f>[9]Totex!AV23</f>
        <v>46.06950710851801</v>
      </c>
    </row>
    <row r="22" spans="1:9" x14ac:dyDescent="0.25">
      <c r="A22" s="96" t="s">
        <v>97</v>
      </c>
      <c r="B22" s="78" t="s">
        <v>6</v>
      </c>
      <c r="C22" s="78"/>
      <c r="D22" s="76"/>
      <c r="E22" s="92">
        <f>[9]Totex!AR24</f>
        <v>1.6954874919252321</v>
      </c>
      <c r="F22" s="92">
        <f>[9]Totex!AS24</f>
        <v>1.5006990716515942</v>
      </c>
      <c r="G22" s="92">
        <f>[9]Totex!AT24</f>
        <v>1.2009511795634007</v>
      </c>
      <c r="H22" s="92">
        <f>[9]Totex!AU24</f>
        <v>0.27445475738177483</v>
      </c>
      <c r="I22" s="93">
        <f>[9]Totex!AV24</f>
        <v>0.29432196218951967</v>
      </c>
    </row>
    <row r="23" spans="1:9" x14ac:dyDescent="0.25">
      <c r="A23" s="96" t="s">
        <v>98</v>
      </c>
      <c r="B23" s="78" t="s">
        <v>6</v>
      </c>
      <c r="C23" s="78"/>
      <c r="D23" s="76"/>
      <c r="E23" s="92">
        <f>[9]Totex!AR25</f>
        <v>1.3965957047142237</v>
      </c>
      <c r="F23" s="92">
        <f>[9]Totex!AS25</f>
        <v>1.728275082469424</v>
      </c>
      <c r="G23" s="92">
        <f>[9]Totex!AT25</f>
        <v>1.1085213261385796</v>
      </c>
      <c r="H23" s="92">
        <f>[9]Totex!AU25</f>
        <v>0.97744618869231359</v>
      </c>
      <c r="I23" s="93">
        <f>[9]Totex!AV25</f>
        <v>1.2809295046380822</v>
      </c>
    </row>
    <row r="24" spans="1:9" x14ac:dyDescent="0.25">
      <c r="A24" s="96" t="s">
        <v>99</v>
      </c>
      <c r="B24" s="78" t="s">
        <v>6</v>
      </c>
      <c r="C24" s="78"/>
      <c r="D24" s="76"/>
      <c r="E24" s="92">
        <f>[9]Totex!AR26</f>
        <v>3.4239664870996694E-2</v>
      </c>
      <c r="F24" s="92">
        <f>[9]Totex!AS26</f>
        <v>0</v>
      </c>
      <c r="G24" s="92">
        <f>[9]Totex!AT26</f>
        <v>0</v>
      </c>
      <c r="H24" s="92">
        <f>[9]Totex!AU26</f>
        <v>0</v>
      </c>
      <c r="I24" s="93">
        <f>[9]Totex!AV26</f>
        <v>0</v>
      </c>
    </row>
    <row r="25" spans="1:9" x14ac:dyDescent="0.25">
      <c r="A25" s="96" t="s">
        <v>100</v>
      </c>
      <c r="B25" s="78" t="s">
        <v>6</v>
      </c>
      <c r="C25" s="78"/>
      <c r="D25" s="76"/>
      <c r="E25" s="92">
        <f>[9]Totex!AR27</f>
        <v>0</v>
      </c>
      <c r="F25" s="92">
        <f>[9]Totex!AS27</f>
        <v>0</v>
      </c>
      <c r="G25" s="92">
        <f>[9]Totex!AT27</f>
        <v>0</v>
      </c>
      <c r="H25" s="92">
        <f>[9]Totex!AU27</f>
        <v>0</v>
      </c>
      <c r="I25" s="93">
        <f>[9]Totex!AV27</f>
        <v>0</v>
      </c>
    </row>
    <row r="26" spans="1:9" x14ac:dyDescent="0.25">
      <c r="A26" s="96" t="s">
        <v>101</v>
      </c>
      <c r="B26" s="78" t="s">
        <v>6</v>
      </c>
      <c r="C26" s="78"/>
      <c r="D26" s="76"/>
      <c r="E26" s="92">
        <f>[9]Totex!AR28</f>
        <v>0</v>
      </c>
      <c r="F26" s="92">
        <f>[9]Totex!AS28</f>
        <v>0</v>
      </c>
      <c r="G26" s="92">
        <f>[9]Totex!AT28</f>
        <v>0</v>
      </c>
      <c r="H26" s="92">
        <f>[9]Totex!AU28</f>
        <v>0</v>
      </c>
      <c r="I26" s="93">
        <f>[9]Totex!AV28</f>
        <v>0</v>
      </c>
    </row>
    <row r="27" spans="1:9" x14ac:dyDescent="0.25">
      <c r="A27" s="96" t="s">
        <v>102</v>
      </c>
      <c r="B27" s="78" t="s">
        <v>6</v>
      </c>
      <c r="C27" s="78"/>
      <c r="D27" s="76"/>
      <c r="E27" s="92">
        <f>[9]Totex!AR29</f>
        <v>0.34642802374252513</v>
      </c>
      <c r="F27" s="92">
        <f>[9]Totex!AS29</f>
        <v>1.432325008945242</v>
      </c>
      <c r="G27" s="92">
        <f>[9]Totex!AT29</f>
        <v>4.0636552287565531</v>
      </c>
      <c r="H27" s="92">
        <f>[9]Totex!AU29</f>
        <v>5.5218496368025738</v>
      </c>
      <c r="I27" s="93">
        <f>[9]Totex!AV29</f>
        <v>5.0561669012774733</v>
      </c>
    </row>
    <row r="28" spans="1:9" x14ac:dyDescent="0.25">
      <c r="A28" s="64" t="s">
        <v>104</v>
      </c>
      <c r="B28" s="65" t="s">
        <v>6</v>
      </c>
      <c r="C28" s="65"/>
      <c r="D28" s="65"/>
      <c r="E28" s="84">
        <f>SUM(E21:E27)</f>
        <v>6.426342017554437</v>
      </c>
      <c r="F28" s="84">
        <f t="shared" ref="F28" si="6">SUM(F21:F27)</f>
        <v>17.730012029869499</v>
      </c>
      <c r="G28" s="84">
        <f t="shared" ref="G28" si="7">SUM(G21:G27)</f>
        <v>42.790577848853928</v>
      </c>
      <c r="H28" s="84">
        <f t="shared" ref="H28" si="8">SUM(H21:H27)</f>
        <v>56.880004590571851</v>
      </c>
      <c r="I28" s="85">
        <f t="shared" ref="I28" si="9">SUM(I21:I27)</f>
        <v>52.700925476623084</v>
      </c>
    </row>
    <row r="29" spans="1:9" x14ac:dyDescent="0.25">
      <c r="A29" s="97" t="s">
        <v>105</v>
      </c>
      <c r="B29" s="81" t="s">
        <v>6</v>
      </c>
      <c r="C29" s="81" t="s">
        <v>125</v>
      </c>
      <c r="D29" s="77"/>
      <c r="E29" s="94">
        <f>[9]InputSummary!AR72</f>
        <v>2.5009708745287083</v>
      </c>
      <c r="F29" s="94">
        <f>[9]InputSummary!AS72</f>
        <v>12.648342647824272</v>
      </c>
      <c r="G29" s="94">
        <f>[9]InputSummary!AT72</f>
        <v>35.404624111657185</v>
      </c>
      <c r="H29" s="94">
        <f>[9]InputSummary!AU72</f>
        <v>48.646182750889608</v>
      </c>
      <c r="I29" s="95">
        <f>[9]InputSummary!AV72</f>
        <v>44.318078302843446</v>
      </c>
    </row>
    <row r="30" spans="1:9" x14ac:dyDescent="0.25">
      <c r="A30" s="97" t="s">
        <v>106</v>
      </c>
      <c r="B30" s="81" t="s">
        <v>6</v>
      </c>
      <c r="C30" s="81" t="s">
        <v>126</v>
      </c>
      <c r="D30" s="77"/>
      <c r="E30" s="94">
        <f>[9]InputSummary!AR73</f>
        <v>1.8764231510856031</v>
      </c>
      <c r="F30" s="94">
        <f>[9]InputSummary!AS73</f>
        <v>1.4328934207132504</v>
      </c>
      <c r="G30" s="94">
        <f>[9]InputSummary!AT73</f>
        <v>1.1367621137658452</v>
      </c>
      <c r="H30" s="94">
        <f>[9]InputSummary!AU73</f>
        <v>0.23881557011887505</v>
      </c>
      <c r="I30" s="95">
        <f>[9]InputSummary!AV73</f>
        <v>0.23881557011887505</v>
      </c>
    </row>
    <row r="31" spans="1:9" x14ac:dyDescent="0.25">
      <c r="A31" s="97" t="s">
        <v>107</v>
      </c>
      <c r="B31" s="81" t="s">
        <v>6</v>
      </c>
      <c r="C31" s="81" t="s">
        <v>127</v>
      </c>
      <c r="D31" s="77"/>
      <c r="E31" s="94">
        <f>[9]InputSummary!AR74</f>
        <v>0.95044720995666787</v>
      </c>
      <c r="F31" s="94">
        <f>[9]InputSummary!AS74</f>
        <v>1.6714924277356165</v>
      </c>
      <c r="G31" s="94">
        <f>[9]InputSummary!AT74</f>
        <v>1.0721007445045196</v>
      </c>
      <c r="H31" s="94">
        <f>[9]InputSummary!AU74</f>
        <v>0.94533209411537367</v>
      </c>
      <c r="I31" s="95">
        <f>[9]InputSummary!AV74</f>
        <v>1.2388444346524146</v>
      </c>
    </row>
    <row r="32" spans="1:9" x14ac:dyDescent="0.25">
      <c r="A32" s="97" t="s">
        <v>108</v>
      </c>
      <c r="B32" s="81" t="s">
        <v>6</v>
      </c>
      <c r="C32" s="81" t="s">
        <v>128</v>
      </c>
      <c r="D32" s="77"/>
      <c r="E32" s="94">
        <f>[9]InputSummary!AR75</f>
        <v>1.3541741585084419E-4</v>
      </c>
      <c r="F32" s="94">
        <f>[9]InputSummary!AS75</f>
        <v>0</v>
      </c>
      <c r="G32" s="94">
        <f>[9]InputSummary!AT75</f>
        <v>0</v>
      </c>
      <c r="H32" s="94">
        <f>[9]InputSummary!AU75</f>
        <v>0</v>
      </c>
      <c r="I32" s="95">
        <f>[9]InputSummary!AV75</f>
        <v>0</v>
      </c>
    </row>
    <row r="33" spans="1:9" x14ac:dyDescent="0.25">
      <c r="A33" s="97" t="s">
        <v>109</v>
      </c>
      <c r="B33" s="81" t="s">
        <v>6</v>
      </c>
      <c r="C33" s="81" t="s">
        <v>129</v>
      </c>
      <c r="D33" s="77"/>
      <c r="E33" s="94">
        <f>[9]InputSummary!AR76</f>
        <v>3.057782784542328E-3</v>
      </c>
      <c r="F33" s="94">
        <f>[9]InputSummary!AS76</f>
        <v>0</v>
      </c>
      <c r="G33" s="94">
        <f>[9]InputSummary!AT76</f>
        <v>0</v>
      </c>
      <c r="H33" s="94">
        <f>[9]InputSummary!AU76</f>
        <v>0</v>
      </c>
      <c r="I33" s="95">
        <f>[9]InputSummary!AV76</f>
        <v>0</v>
      </c>
    </row>
    <row r="34" spans="1:9" x14ac:dyDescent="0.25">
      <c r="A34" s="97" t="s">
        <v>110</v>
      </c>
      <c r="B34" s="81" t="s">
        <v>6</v>
      </c>
      <c r="C34" s="81" t="s">
        <v>130</v>
      </c>
      <c r="D34" s="77"/>
      <c r="E34" s="94">
        <f>[9]InputSummary!AR77</f>
        <v>0</v>
      </c>
      <c r="F34" s="94">
        <f>[9]InputSummary!AS77</f>
        <v>0.50604583389236069</v>
      </c>
      <c r="G34" s="94">
        <f>[9]InputSummary!AT77</f>
        <v>0.93882162389580581</v>
      </c>
      <c r="H34" s="94">
        <f>[9]InputSummary!AU77</f>
        <v>1.1637438913023095</v>
      </c>
      <c r="I34" s="95">
        <f>[9]InputSummary!AV77</f>
        <v>1.1804923472677094</v>
      </c>
    </row>
    <row r="35" spans="1:9" x14ac:dyDescent="0.25">
      <c r="A35" s="97" t="s">
        <v>111</v>
      </c>
      <c r="B35" s="81" t="s">
        <v>6</v>
      </c>
      <c r="C35" s="81" t="s">
        <v>131</v>
      </c>
      <c r="D35" s="77"/>
      <c r="E35" s="94">
        <f>[9]InputSummary!AR78</f>
        <v>0.35117415000416019</v>
      </c>
      <c r="F35" s="94">
        <f>[9]InputSummary!AS78</f>
        <v>5.7394656563732868E-2</v>
      </c>
      <c r="G35" s="94">
        <f>[9]InputSummary!AT78</f>
        <v>0.16787437798444213</v>
      </c>
      <c r="H35" s="94">
        <f>[9]InputSummary!AU78</f>
        <v>0.16516349231971267</v>
      </c>
      <c r="I35" s="95">
        <f>[9]InputSummary!AV78</f>
        <v>0.17144011034743903</v>
      </c>
    </row>
    <row r="36" spans="1:9" x14ac:dyDescent="0.25">
      <c r="A36" s="66" t="s">
        <v>113</v>
      </c>
      <c r="B36" s="67" t="s">
        <v>6</v>
      </c>
      <c r="C36" s="67"/>
      <c r="D36" s="67"/>
      <c r="E36" s="86">
        <f>SUM(E29:E35)</f>
        <v>5.6822085857755322</v>
      </c>
      <c r="F36" s="86">
        <f t="shared" ref="F36" si="10">SUM(F29:F35)</f>
        <v>16.316168986729235</v>
      </c>
      <c r="G36" s="86">
        <f t="shared" ref="G36" si="11">SUM(G29:G35)</f>
        <v>38.720182971807795</v>
      </c>
      <c r="H36" s="86">
        <f t="shared" ref="H36" si="12">SUM(H29:H35)</f>
        <v>51.159237798745878</v>
      </c>
      <c r="I36" s="87">
        <f t="shared" ref="I36" si="13">SUM(I29:I35)</f>
        <v>47.147670765229883</v>
      </c>
    </row>
    <row r="37" spans="1:9" x14ac:dyDescent="0.25">
      <c r="A37" s="68" t="s">
        <v>116</v>
      </c>
      <c r="B37" s="69" t="s">
        <v>6</v>
      </c>
      <c r="C37" s="69"/>
      <c r="D37" s="69"/>
      <c r="E37" s="88">
        <f>IF(E36&lt;&gt;0,(E36-E28)*0.5+E28,E28)</f>
        <v>6.0542753016649851</v>
      </c>
      <c r="F37" s="88">
        <f t="shared" ref="F37:I37" si="14">IF(F36&lt;&gt;0,(F36-F28)*0.5+F28,F28)</f>
        <v>17.023090508299369</v>
      </c>
      <c r="G37" s="88">
        <f t="shared" si="14"/>
        <v>40.755380410330858</v>
      </c>
      <c r="H37" s="88">
        <f t="shared" si="14"/>
        <v>54.019621194658868</v>
      </c>
      <c r="I37" s="89">
        <f t="shared" si="14"/>
        <v>49.92429812092648</v>
      </c>
    </row>
    <row r="38" spans="1:9" x14ac:dyDescent="0.25">
      <c r="A38" s="73" t="s">
        <v>117</v>
      </c>
      <c r="B38" s="74" t="s">
        <v>6</v>
      </c>
      <c r="C38" s="74"/>
      <c r="D38" s="74"/>
      <c r="E38" s="90">
        <f>(1-[9]TIM!AR$60)*E37</f>
        <v>0.90814129524974785</v>
      </c>
      <c r="F38" s="90">
        <f>(1-[9]TIM!AS$60)*F37</f>
        <v>2.5534635762449058</v>
      </c>
      <c r="G38" s="90">
        <f>(1-[9]TIM!AT$60)*G37</f>
        <v>6.1133070615496292</v>
      </c>
      <c r="H38" s="90">
        <f>(1-[9]TIM!AU$60)*H37</f>
        <v>8.1029431791988316</v>
      </c>
      <c r="I38" s="91">
        <f>(1-[9]TIM!AV$60)*I37</f>
        <v>7.488644718138973</v>
      </c>
    </row>
    <row r="39" spans="1:9" x14ac:dyDescent="0.25">
      <c r="A39" s="15" t="s">
        <v>5</v>
      </c>
      <c r="B39" s="1" t="s">
        <v>6</v>
      </c>
      <c r="C39" s="1" t="s">
        <v>7</v>
      </c>
      <c r="D39" s="1"/>
      <c r="E39" s="4">
        <f>E20+E38</f>
        <v>55.851345781463408</v>
      </c>
      <c r="F39" s="4">
        <f t="shared" ref="F39:I39" si="15">F20+F38</f>
        <v>61.673984670753342</v>
      </c>
      <c r="G39" s="4">
        <f t="shared" si="15"/>
        <v>66.996462689311358</v>
      </c>
      <c r="H39" s="4">
        <f t="shared" si="15"/>
        <v>63.251416781685073</v>
      </c>
      <c r="I39" s="18">
        <f t="shared" si="15"/>
        <v>59.883557894515171</v>
      </c>
    </row>
    <row r="40" spans="1:9" x14ac:dyDescent="0.25">
      <c r="A40" s="16" t="s">
        <v>9</v>
      </c>
      <c r="B40" s="2" t="s">
        <v>6</v>
      </c>
      <c r="C40" s="2"/>
      <c r="D40" s="2"/>
      <c r="E40" s="3">
        <f>[9]Depn!AR29</f>
        <v>80.536592007839971</v>
      </c>
      <c r="F40" s="3">
        <f>[9]Depn!AS29</f>
        <v>75.514922372730155</v>
      </c>
      <c r="G40" s="3">
        <f>[9]Depn!AT29</f>
        <v>69.709277117809052</v>
      </c>
      <c r="H40" s="3">
        <f>[9]Depn!AU29</f>
        <v>64.118675022162904</v>
      </c>
      <c r="I40" s="17">
        <f>[9]Depn!AV29</f>
        <v>57.987654326767355</v>
      </c>
    </row>
    <row r="41" spans="1:9" x14ac:dyDescent="0.25">
      <c r="A41" s="16" t="s">
        <v>10</v>
      </c>
      <c r="B41" s="2" t="s">
        <v>6</v>
      </c>
      <c r="C41" s="2"/>
      <c r="D41" s="2"/>
      <c r="E41" s="3">
        <f>[9]Depn!AR30</f>
        <v>50.111666976603196</v>
      </c>
      <c r="F41" s="3">
        <f>[9]Depn!AS30</f>
        <v>50.111666976603196</v>
      </c>
      <c r="G41" s="3">
        <f>[9]Depn!AT30</f>
        <v>50.111666976603196</v>
      </c>
      <c r="H41" s="3">
        <f>[9]Depn!AU30</f>
        <v>50.111666976603196</v>
      </c>
      <c r="I41" s="17">
        <f>[9]Depn!AV30</f>
        <v>50.111666976603196</v>
      </c>
    </row>
    <row r="42" spans="1:9" x14ac:dyDescent="0.25">
      <c r="A42" s="16" t="s">
        <v>11</v>
      </c>
      <c r="B42" s="2" t="s">
        <v>6</v>
      </c>
      <c r="C42" s="2"/>
      <c r="D42" s="2"/>
      <c r="E42" s="3">
        <f>[9]Depn!AR31</f>
        <v>0</v>
      </c>
      <c r="F42" s="3">
        <f>[9]Depn!AS31</f>
        <v>4.7074941466091005</v>
      </c>
      <c r="G42" s="3">
        <f>[9]Depn!AT31</f>
        <v>9.9713918524708056</v>
      </c>
      <c r="H42" s="3">
        <f>[9]Depn!AU31</f>
        <v>15.8309186619074</v>
      </c>
      <c r="I42" s="17">
        <f>[9]Depn!AV31</f>
        <v>21.461584961294783</v>
      </c>
    </row>
    <row r="43" spans="1:9" x14ac:dyDescent="0.25">
      <c r="A43" s="15" t="s">
        <v>8</v>
      </c>
      <c r="B43" s="1" t="s">
        <v>6</v>
      </c>
      <c r="C43" s="1" t="s">
        <v>21</v>
      </c>
      <c r="D43" s="1"/>
      <c r="E43" s="4">
        <f>E40+E41+E42</f>
        <v>130.64825898444317</v>
      </c>
      <c r="F43" s="4">
        <f t="shared" ref="F43:I43" si="16">F40+F41+F42</f>
        <v>130.33408349594245</v>
      </c>
      <c r="G43" s="4">
        <f t="shared" si="16"/>
        <v>129.79233594688307</v>
      </c>
      <c r="H43" s="4">
        <f t="shared" si="16"/>
        <v>130.0612606606735</v>
      </c>
      <c r="I43" s="18">
        <f t="shared" si="16"/>
        <v>129.56090626466533</v>
      </c>
    </row>
    <row r="44" spans="1:9" x14ac:dyDescent="0.25">
      <c r="A44" s="16" t="s">
        <v>12</v>
      </c>
      <c r="B44" s="2" t="s">
        <v>13</v>
      </c>
      <c r="C44" s="2"/>
      <c r="D44" s="2"/>
      <c r="E44" s="5">
        <f>'[9]Return&amp;RAV'!AR$12</f>
        <v>3.97335776E-2</v>
      </c>
      <c r="F44" s="5">
        <f>'[9]Return&amp;RAV'!AS$12</f>
        <v>4.1370183200000001E-2</v>
      </c>
      <c r="G44" s="5">
        <f>'[9]Return&amp;RAV'!AT$12</f>
        <v>4.1450170800000005E-2</v>
      </c>
      <c r="H44" s="5">
        <f>'[9]Return&amp;RAV'!AU$12</f>
        <v>4.15681044E-2</v>
      </c>
      <c r="I44" s="19">
        <f>'[9]Return&amp;RAV'!AV$12</f>
        <v>4.1755693600000005E-2</v>
      </c>
    </row>
    <row r="45" spans="1:9" x14ac:dyDescent="0.25">
      <c r="A45" s="16" t="s">
        <v>14</v>
      </c>
      <c r="B45" s="2" t="s">
        <v>15</v>
      </c>
      <c r="C45" s="2"/>
      <c r="D45" s="2"/>
      <c r="E45" s="6">
        <f t="shared" ref="E45:I45" si="17">1 / (1 + E44)</f>
        <v>0.96178484714159518</v>
      </c>
      <c r="F45" s="6">
        <f t="shared" si="17"/>
        <v>0.96027331695548013</v>
      </c>
      <c r="G45" s="6">
        <f t="shared" si="17"/>
        <v>0.96019956406732399</v>
      </c>
      <c r="H45" s="6">
        <f t="shared" si="17"/>
        <v>0.96009084358055918</v>
      </c>
      <c r="I45" s="20">
        <f t="shared" si="17"/>
        <v>0.95991795978987671</v>
      </c>
    </row>
    <row r="46" spans="1:9" x14ac:dyDescent="0.25">
      <c r="A46" s="16" t="s">
        <v>16</v>
      </c>
      <c r="B46" s="2" t="s">
        <v>6</v>
      </c>
      <c r="C46" s="2"/>
      <c r="D46" s="2"/>
      <c r="E46" s="62">
        <f>'[9]Return&amp;RAV'!AR$15</f>
        <v>2043.9105117392114</v>
      </c>
      <c r="F46" s="62">
        <f>'[9]Return&amp;RAV'!AS$15</f>
        <v>2150.4518250070455</v>
      </c>
      <c r="G46" s="62">
        <f>'[9]Return&amp;RAV'!AT$15</f>
        <v>2284.3381954848091</v>
      </c>
      <c r="H46" s="62">
        <f>'[9]Return&amp;RAV'!AU$15</f>
        <v>2407.6569182965677</v>
      </c>
      <c r="I46" s="63">
        <f>'[9]Return&amp;RAV'!AV$15</f>
        <v>2517.636338812486</v>
      </c>
    </row>
    <row r="47" spans="1:9" x14ac:dyDescent="0.25">
      <c r="A47" s="16" t="s">
        <v>18</v>
      </c>
      <c r="B47" s="2" t="s">
        <v>6</v>
      </c>
      <c r="C47" s="2"/>
      <c r="D47" s="2"/>
      <c r="E47" s="62">
        <f>'[9]Return&amp;RAV'!AR$43</f>
        <v>1962.7215341262449</v>
      </c>
      <c r="F47" s="62">
        <f>'[9]Return&amp;RAV'!AS$43</f>
        <v>2043.9105117392114</v>
      </c>
      <c r="G47" s="62">
        <f>'[9]Return&amp;RAV'!AT$43</f>
        <v>2150.4518250070455</v>
      </c>
      <c r="H47" s="62">
        <f>'[9]Return&amp;RAV'!AU$43</f>
        <v>2284.3381954848091</v>
      </c>
      <c r="I47" s="63">
        <f>'[9]Return&amp;RAV'!AV$43</f>
        <v>2407.6569182965677</v>
      </c>
    </row>
    <row r="48" spans="1:9" x14ac:dyDescent="0.25">
      <c r="A48" s="16" t="s">
        <v>17</v>
      </c>
      <c r="B48" s="2" t="s">
        <v>6</v>
      </c>
      <c r="C48" s="2"/>
      <c r="D48" s="2"/>
      <c r="E48" s="62">
        <f>E45 * E46</f>
        <v>1965.802159104197</v>
      </c>
      <c r="F48" s="62">
        <f t="shared" ref="F48:I48" si="18">F45 * F46</f>
        <v>2065.0215069524811</v>
      </c>
      <c r="G48" s="62">
        <f t="shared" si="18"/>
        <v>2193.4205394868513</v>
      </c>
      <c r="H48" s="62">
        <f t="shared" si="18"/>
        <v>2311.5693617399211</v>
      </c>
      <c r="I48" s="63">
        <f t="shared" si="18"/>
        <v>2416.7243378457365</v>
      </c>
    </row>
    <row r="49" spans="1:9" x14ac:dyDescent="0.25">
      <c r="A49" s="16" t="s">
        <v>19</v>
      </c>
      <c r="B49" s="2" t="s">
        <v>6</v>
      </c>
      <c r="C49" s="2"/>
      <c r="D49" s="2"/>
      <c r="E49" s="62">
        <f t="shared" ref="E49:I49" si="19">AVERAGE(E47:E48)</f>
        <v>1964.261846615221</v>
      </c>
      <c r="F49" s="62">
        <f t="shared" si="19"/>
        <v>2054.466009345846</v>
      </c>
      <c r="G49" s="62">
        <f t="shared" si="19"/>
        <v>2171.9361822469482</v>
      </c>
      <c r="H49" s="62">
        <f t="shared" si="19"/>
        <v>2297.9537786123651</v>
      </c>
      <c r="I49" s="63">
        <f t="shared" si="19"/>
        <v>2412.1906280711519</v>
      </c>
    </row>
    <row r="50" spans="1:9" x14ac:dyDescent="0.25">
      <c r="A50" s="15" t="s">
        <v>20</v>
      </c>
      <c r="B50" s="1" t="s">
        <v>6</v>
      </c>
      <c r="C50" s="1" t="s">
        <v>22</v>
      </c>
      <c r="D50" s="1"/>
      <c r="E50" s="4">
        <f>E49*E44</f>
        <v>78.047150509205181</v>
      </c>
      <c r="F50" s="4">
        <f t="shared" ref="F50:I50" si="20">F49*F44</f>
        <v>84.993635184810557</v>
      </c>
      <c r="G50" s="4">
        <f t="shared" si="20"/>
        <v>90.02712572083594</v>
      </c>
      <c r="H50" s="4">
        <f t="shared" si="20"/>
        <v>95.521582575733277</v>
      </c>
      <c r="I50" s="18">
        <f t="shared" si="20"/>
        <v>100.72269277053059</v>
      </c>
    </row>
    <row r="51" spans="1:9" x14ac:dyDescent="0.25">
      <c r="A51" s="16" t="s">
        <v>24</v>
      </c>
      <c r="B51" s="2" t="s">
        <v>6</v>
      </c>
      <c r="C51" s="2" t="s">
        <v>25</v>
      </c>
      <c r="D51" s="2"/>
      <c r="E51" s="3">
        <f>[9]InputSummary!AR83</f>
        <v>1.5481531334584167</v>
      </c>
      <c r="F51" s="3">
        <f>[9]InputSummary!AS83</f>
        <v>1.5379118453633793</v>
      </c>
      <c r="G51" s="3">
        <f>[9]InputSummary!AT83</f>
        <v>1.5379118453633793</v>
      </c>
      <c r="H51" s="3">
        <f>[9]InputSummary!AU83</f>
        <v>1.5379118453633793</v>
      </c>
      <c r="I51" s="17">
        <f>[9]InputSummary!AV83</f>
        <v>1.5379118453633793</v>
      </c>
    </row>
    <row r="52" spans="1:9" x14ac:dyDescent="0.25">
      <c r="A52" s="16" t="s">
        <v>26</v>
      </c>
      <c r="B52" s="2" t="s">
        <v>6</v>
      </c>
      <c r="C52" s="2" t="s">
        <v>27</v>
      </c>
      <c r="D52" s="2"/>
      <c r="E52" s="3">
        <f>[9]InputSummary!AR84</f>
        <v>18.911815759061863</v>
      </c>
      <c r="F52" s="3">
        <f>[9]InputSummary!AS84</f>
        <v>19.970956243055891</v>
      </c>
      <c r="G52" s="3">
        <f>[9]InputSummary!AT84</f>
        <v>20.151842219976167</v>
      </c>
      <c r="H52" s="3">
        <f>[9]InputSummary!AU84</f>
        <v>20.279875092477624</v>
      </c>
      <c r="I52" s="17">
        <f>[9]InputSummary!AV84</f>
        <v>20.54969776136149</v>
      </c>
    </row>
    <row r="53" spans="1:9" x14ac:dyDescent="0.25">
      <c r="A53" s="16" t="s">
        <v>28</v>
      </c>
      <c r="B53" s="2" t="s">
        <v>6</v>
      </c>
      <c r="C53" s="2" t="s">
        <v>29</v>
      </c>
      <c r="D53" s="2"/>
      <c r="E53" s="3">
        <f>[9]InputSummary!AR85</f>
        <v>5.1785745740288149</v>
      </c>
      <c r="F53" s="3">
        <f>[9]InputSummary!AS85</f>
        <v>7.8719057563439909</v>
      </c>
      <c r="G53" s="3">
        <f>[9]InputSummary!AT85</f>
        <v>8.2734565784959884</v>
      </c>
      <c r="H53" s="3">
        <f>[9]InputSummary!AU85</f>
        <v>8.2734565784959848</v>
      </c>
      <c r="I53" s="17">
        <f>[9]InputSummary!AV85</f>
        <v>8.2734565784959866</v>
      </c>
    </row>
    <row r="54" spans="1:9" x14ac:dyDescent="0.25">
      <c r="A54" s="16" t="s">
        <v>30</v>
      </c>
      <c r="B54" s="2" t="s">
        <v>6</v>
      </c>
      <c r="C54" s="2" t="s">
        <v>31</v>
      </c>
      <c r="D54" s="2"/>
      <c r="E54" s="3">
        <f>[9]InputSummary!AR86</f>
        <v>1.5364400814046104</v>
      </c>
      <c r="F54" s="3">
        <f>[9]InputSummary!AS86</f>
        <v>1.6377376796476351</v>
      </c>
      <c r="G54" s="3">
        <f>[9]InputSummary!AT86</f>
        <v>1.6463813689065041</v>
      </c>
      <c r="H54" s="3">
        <f>[9]InputSummary!AU86</f>
        <v>1.6389898543691999</v>
      </c>
      <c r="I54" s="17">
        <f>[9]InputSummary!AV86</f>
        <v>1.6476411271182239</v>
      </c>
    </row>
    <row r="55" spans="1:9" x14ac:dyDescent="0.25">
      <c r="A55" s="16" t="s">
        <v>32</v>
      </c>
      <c r="B55" s="2" t="s">
        <v>6</v>
      </c>
      <c r="C55" s="2" t="s">
        <v>33</v>
      </c>
      <c r="D55" s="2"/>
      <c r="E55" s="3">
        <f>[9]InputSummary!AR87</f>
        <v>0.15875089883592058</v>
      </c>
      <c r="F55" s="3">
        <f>[9]InputSummary!AS87</f>
        <v>0.43190000000000001</v>
      </c>
      <c r="G55" s="3">
        <f>[9]InputSummary!AT87</f>
        <v>0.58550000000000002</v>
      </c>
      <c r="H55" s="3">
        <f>[9]InputSummary!AU87</f>
        <v>0.4143</v>
      </c>
      <c r="I55" s="17">
        <f>[9]InputSummary!AV87</f>
        <v>0.41820000000000002</v>
      </c>
    </row>
    <row r="56" spans="1:9" x14ac:dyDescent="0.25">
      <c r="A56" s="16" t="s">
        <v>34</v>
      </c>
      <c r="B56" s="2" t="s">
        <v>6</v>
      </c>
      <c r="C56" s="2" t="s">
        <v>35</v>
      </c>
      <c r="D56" s="2"/>
      <c r="E56" s="3">
        <f>[9]InputSummary!AR88</f>
        <v>1.8428535231321815E-2</v>
      </c>
      <c r="F56" s="3">
        <f>[9]InputSummary!AS88</f>
        <v>3.6200000000000003E-2</v>
      </c>
      <c r="G56" s="3">
        <f>[9]InputSummary!AT88</f>
        <v>3.6200000000000003E-2</v>
      </c>
      <c r="H56" s="3">
        <f>[9]InputSummary!AU88</f>
        <v>3.6200000000000003E-2</v>
      </c>
      <c r="I56" s="17">
        <f>[9]InputSummary!AV88</f>
        <v>3.6200000000000003E-2</v>
      </c>
    </row>
    <row r="57" spans="1:9" x14ac:dyDescent="0.25">
      <c r="A57" s="16" t="s">
        <v>36</v>
      </c>
      <c r="B57" s="2" t="s">
        <v>6</v>
      </c>
      <c r="C57" s="2" t="s">
        <v>37</v>
      </c>
      <c r="D57" s="2"/>
      <c r="E57" s="3">
        <f>[9]InputSummary!AR89</f>
        <v>11.537200098971763</v>
      </c>
      <c r="F57" s="3">
        <f>[9]InputSummary!AS89</f>
        <v>0.36177781223878441</v>
      </c>
      <c r="G57" s="3">
        <f>[9]InputSummary!AT89</f>
        <v>0</v>
      </c>
      <c r="H57" s="3">
        <f>[9]InputSummary!AU89</f>
        <v>0</v>
      </c>
      <c r="I57" s="17">
        <f>[9]InputSummary!AV89</f>
        <v>0</v>
      </c>
    </row>
    <row r="58" spans="1:9" x14ac:dyDescent="0.25">
      <c r="A58" s="16" t="s">
        <v>38</v>
      </c>
      <c r="B58" s="2" t="s">
        <v>6</v>
      </c>
      <c r="C58" s="2" t="s">
        <v>39</v>
      </c>
      <c r="D58" s="2"/>
      <c r="E58" s="3">
        <f>[9]InputSummary!AR90</f>
        <v>2.1161580710543273E-2</v>
      </c>
      <c r="F58" s="3">
        <f>[9]InputSummary!AS90</f>
        <v>6.8158594421151769E-2</v>
      </c>
      <c r="G58" s="3">
        <f>[9]InputSummary!AT90</f>
        <v>1.1114937287807588E-4</v>
      </c>
      <c r="H58" s="3">
        <f>[9]InputSummary!AU90</f>
        <v>0</v>
      </c>
      <c r="I58" s="17">
        <f>[9]InputSummary!AV90</f>
        <v>0</v>
      </c>
    </row>
    <row r="59" spans="1:9" x14ac:dyDescent="0.25">
      <c r="A59" s="16" t="s">
        <v>40</v>
      </c>
      <c r="B59" s="2" t="s">
        <v>6</v>
      </c>
      <c r="C59" s="2" t="s">
        <v>41</v>
      </c>
      <c r="D59" s="2"/>
      <c r="E59" s="3">
        <f>[9]InputSummary!AR91</f>
        <v>0</v>
      </c>
      <c r="F59" s="3">
        <f>[9]InputSummary!AS91</f>
        <v>0.5</v>
      </c>
      <c r="G59" s="3">
        <f>[9]InputSummary!AT91</f>
        <v>0.5</v>
      </c>
      <c r="H59" s="3">
        <f>[9]InputSummary!AU91</f>
        <v>0.5</v>
      </c>
      <c r="I59" s="17">
        <f>[9]InputSummary!AV91</f>
        <v>0.59999999999999987</v>
      </c>
    </row>
    <row r="60" spans="1:9" x14ac:dyDescent="0.25">
      <c r="A60" s="16" t="s">
        <v>42</v>
      </c>
      <c r="B60" s="2" t="s">
        <v>6</v>
      </c>
      <c r="C60" s="2" t="s">
        <v>43</v>
      </c>
      <c r="D60" s="2"/>
      <c r="E60" s="3">
        <f>[9]InputSummary!AR92</f>
        <v>0</v>
      </c>
      <c r="F60" s="3">
        <f>[9]InputSummary!AS92</f>
        <v>0</v>
      </c>
      <c r="G60" s="3">
        <f>[9]InputSummary!AT92</f>
        <v>0</v>
      </c>
      <c r="H60" s="3">
        <f>[9]InputSummary!AU92</f>
        <v>0</v>
      </c>
      <c r="I60" s="17">
        <f>[9]InputSummary!AV92</f>
        <v>0</v>
      </c>
    </row>
    <row r="61" spans="1:9" x14ac:dyDescent="0.25">
      <c r="A61" s="16" t="s">
        <v>44</v>
      </c>
      <c r="B61" s="2" t="s">
        <v>6</v>
      </c>
      <c r="C61" s="2" t="s">
        <v>45</v>
      </c>
      <c r="D61" s="2"/>
      <c r="E61" s="3">
        <f>[9]InputSummary!AR93</f>
        <v>0</v>
      </c>
      <c r="F61" s="3">
        <f>[9]InputSummary!AS93</f>
        <v>0</v>
      </c>
      <c r="G61" s="3">
        <f>[9]InputSummary!AT93</f>
        <v>0</v>
      </c>
      <c r="H61" s="3">
        <f>[9]InputSummary!AU93</f>
        <v>0</v>
      </c>
      <c r="I61" s="17">
        <f>[9]InputSummary!AV93</f>
        <v>0</v>
      </c>
    </row>
    <row r="62" spans="1:9" x14ac:dyDescent="0.25">
      <c r="A62" s="16" t="s">
        <v>46</v>
      </c>
      <c r="B62" s="2" t="s">
        <v>6</v>
      </c>
      <c r="C62" s="2" t="s">
        <v>47</v>
      </c>
      <c r="D62" s="2"/>
      <c r="E62" s="3">
        <f>[9]InputSummary!AR94</f>
        <v>0</v>
      </c>
      <c r="F62" s="3">
        <f>[9]InputSummary!AS94</f>
        <v>0</v>
      </c>
      <c r="G62" s="3">
        <f>[9]InputSummary!AT94</f>
        <v>0</v>
      </c>
      <c r="H62" s="3">
        <f>[9]InputSummary!AU94</f>
        <v>0</v>
      </c>
      <c r="I62" s="17">
        <f>[9]InputSummary!AV94</f>
        <v>0</v>
      </c>
    </row>
    <row r="63" spans="1:9" x14ac:dyDescent="0.25">
      <c r="A63" s="15" t="s">
        <v>48</v>
      </c>
      <c r="B63" s="1" t="s">
        <v>6</v>
      </c>
      <c r="C63" s="1" t="s">
        <v>23</v>
      </c>
      <c r="D63" s="1"/>
      <c r="E63" s="4">
        <f>SUM(E51:E61)-E62</f>
        <v>38.910524661703249</v>
      </c>
      <c r="F63" s="4">
        <f t="shared" ref="F63:I63" si="21">SUM(F51:F61)-F62</f>
        <v>32.416547931070838</v>
      </c>
      <c r="G63" s="4">
        <f t="shared" si="21"/>
        <v>32.731403162114916</v>
      </c>
      <c r="H63" s="4">
        <f t="shared" si="21"/>
        <v>32.680733370706186</v>
      </c>
      <c r="I63" s="18">
        <f t="shared" si="21"/>
        <v>33.063107312339085</v>
      </c>
    </row>
    <row r="64" spans="1:9" x14ac:dyDescent="0.25">
      <c r="A64" s="21" t="s">
        <v>49</v>
      </c>
      <c r="B64" s="7" t="s">
        <v>6</v>
      </c>
      <c r="C64" s="7"/>
      <c r="D64" s="7"/>
      <c r="E64" s="8">
        <f>E39+E43+E50+E63</f>
        <v>303.45727993681498</v>
      </c>
      <c r="F64" s="8">
        <f t="shared" ref="F64:I64" si="22">F39+F43+F50+F63</f>
        <v>309.41825128257722</v>
      </c>
      <c r="G64" s="8">
        <f t="shared" si="22"/>
        <v>319.54732751914531</v>
      </c>
      <c r="H64" s="8">
        <f t="shared" si="22"/>
        <v>321.51499338879808</v>
      </c>
      <c r="I64" s="22">
        <f t="shared" si="22"/>
        <v>323.23026424205017</v>
      </c>
    </row>
    <row r="65" spans="1:9" x14ac:dyDescent="0.25">
      <c r="A65" s="16" t="s">
        <v>133</v>
      </c>
      <c r="B65" s="2" t="s">
        <v>6</v>
      </c>
      <c r="C65" s="2" t="s">
        <v>134</v>
      </c>
      <c r="D65" s="2"/>
      <c r="E65" s="3">
        <f>[9]InputSummary!AR101</f>
        <v>0.24980899999999984</v>
      </c>
      <c r="F65" s="3">
        <f>[9]InputSummary!AS101</f>
        <v>0.26214939896090217</v>
      </c>
      <c r="G65" s="3">
        <f>[9]InputSummary!AT101</f>
        <v>0.27307229058427313</v>
      </c>
      <c r="H65" s="3">
        <f>[9]InputSummary!AU101</f>
        <v>0.28399518220764403</v>
      </c>
      <c r="I65" s="17">
        <f>[9]InputSummary!AV101</f>
        <v>0.29491807383101498</v>
      </c>
    </row>
    <row r="66" spans="1:9" x14ac:dyDescent="0.25">
      <c r="A66" s="16" t="s">
        <v>135</v>
      </c>
      <c r="B66" s="2" t="s">
        <v>6</v>
      </c>
      <c r="C66" s="2" t="s">
        <v>136</v>
      </c>
      <c r="D66" s="2"/>
      <c r="E66" s="3">
        <f>[9]InputSummary!AR102</f>
        <v>-0.61958869572773478</v>
      </c>
      <c r="F66" s="3">
        <f>[9]InputSummary!AS102</f>
        <v>-0.47560104795193203</v>
      </c>
      <c r="G66" s="3">
        <f>[9]InputSummary!AT102</f>
        <v>-0.45060104795193201</v>
      </c>
      <c r="H66" s="3">
        <f>[9]InputSummary!AU102</f>
        <v>-0.42560104795193204</v>
      </c>
      <c r="I66" s="17">
        <f>[9]InputSummary!AV102</f>
        <v>-0.40060104795193202</v>
      </c>
    </row>
    <row r="67" spans="1:9" x14ac:dyDescent="0.25">
      <c r="A67" s="16" t="s">
        <v>137</v>
      </c>
      <c r="B67" s="2" t="s">
        <v>6</v>
      </c>
      <c r="C67" s="2" t="s">
        <v>138</v>
      </c>
      <c r="D67" s="2"/>
      <c r="E67" s="3">
        <f>[9]InputSummary!AR103</f>
        <v>-2.9412890766662714</v>
      </c>
      <c r="F67" s="3">
        <f>[9]InputSummary!AS103</f>
        <v>0</v>
      </c>
      <c r="G67" s="3">
        <f>[9]InputSummary!AT103</f>
        <v>0</v>
      </c>
      <c r="H67" s="3">
        <f>[9]InputSummary!AU103</f>
        <v>0</v>
      </c>
      <c r="I67" s="17">
        <f>[9]InputSummary!AV103</f>
        <v>0</v>
      </c>
    </row>
    <row r="68" spans="1:9" x14ac:dyDescent="0.25">
      <c r="A68" s="16" t="s">
        <v>139</v>
      </c>
      <c r="B68" s="2" t="s">
        <v>6</v>
      </c>
      <c r="C68" s="2" t="s">
        <v>140</v>
      </c>
      <c r="D68" s="2"/>
      <c r="E68" s="3">
        <f>[9]InputSummary!AR104</f>
        <v>0</v>
      </c>
      <c r="F68" s="3">
        <f>[9]InputSummary!AS104</f>
        <v>0</v>
      </c>
      <c r="G68" s="3">
        <f>[9]InputSummary!AT104</f>
        <v>0</v>
      </c>
      <c r="H68" s="3">
        <f>[9]InputSummary!AU104</f>
        <v>0</v>
      </c>
      <c r="I68" s="17">
        <f>[9]InputSummary!AV104</f>
        <v>0</v>
      </c>
    </row>
    <row r="69" spans="1:9" x14ac:dyDescent="0.25">
      <c r="A69" s="16" t="s">
        <v>141</v>
      </c>
      <c r="B69" s="2" t="s">
        <v>6</v>
      </c>
      <c r="C69" s="2" t="s">
        <v>142</v>
      </c>
      <c r="D69" s="2"/>
      <c r="E69" s="3">
        <f>[9]InputSummary!AR105</f>
        <v>0</v>
      </c>
      <c r="F69" s="3">
        <f>[9]InputSummary!AS105</f>
        <v>0</v>
      </c>
      <c r="G69" s="3">
        <f>[9]InputSummary!AT105</f>
        <v>0</v>
      </c>
      <c r="H69" s="3">
        <f>[9]InputSummary!AU105</f>
        <v>0</v>
      </c>
      <c r="I69" s="17">
        <f>[9]InputSummary!AV105</f>
        <v>0</v>
      </c>
    </row>
    <row r="70" spans="1:9" x14ac:dyDescent="0.25">
      <c r="A70" s="16" t="s">
        <v>143</v>
      </c>
      <c r="B70" s="2" t="s">
        <v>6</v>
      </c>
      <c r="C70" s="2" t="s">
        <v>144</v>
      </c>
      <c r="D70" s="2"/>
      <c r="E70" s="3">
        <f>[9]InputSummary!AR106</f>
        <v>1.399</v>
      </c>
      <c r="F70" s="3">
        <f>[9]InputSummary!AS106</f>
        <v>0.39</v>
      </c>
      <c r="G70" s="3">
        <f>[9]InputSummary!AT106</f>
        <v>0.39</v>
      </c>
      <c r="H70" s="3">
        <f>[9]InputSummary!AU106</f>
        <v>0.39</v>
      </c>
      <c r="I70" s="17">
        <f>[9]InputSummary!AV106</f>
        <v>0.39</v>
      </c>
    </row>
    <row r="71" spans="1:9" x14ac:dyDescent="0.25">
      <c r="A71" s="16" t="s">
        <v>145</v>
      </c>
      <c r="B71" s="2" t="s">
        <v>6</v>
      </c>
      <c r="C71" s="2" t="s">
        <v>146</v>
      </c>
      <c r="D71" s="2"/>
      <c r="E71" s="3">
        <f>[9]InputSummary!AR107</f>
        <v>0</v>
      </c>
      <c r="F71" s="3">
        <f>[9]InputSummary!AS107</f>
        <v>0</v>
      </c>
      <c r="G71" s="3">
        <f>[9]InputSummary!AT107</f>
        <v>0</v>
      </c>
      <c r="H71" s="3">
        <f>[9]InputSummary!AU107</f>
        <v>0</v>
      </c>
      <c r="I71" s="17">
        <f>[9]InputSummary!AV107</f>
        <v>0</v>
      </c>
    </row>
    <row r="72" spans="1:9" x14ac:dyDescent="0.25">
      <c r="A72" s="16" t="s">
        <v>147</v>
      </c>
      <c r="B72" s="2" t="s">
        <v>6</v>
      </c>
      <c r="C72" s="2" t="s">
        <v>148</v>
      </c>
      <c r="D72" s="2"/>
      <c r="E72" s="3">
        <f>[9]InputSummary!AR108</f>
        <v>0</v>
      </c>
      <c r="F72" s="3">
        <f>[9]InputSummary!AS108</f>
        <v>0</v>
      </c>
      <c r="G72" s="3">
        <f>[9]InputSummary!AT108</f>
        <v>0</v>
      </c>
      <c r="H72" s="3">
        <f>[9]InputSummary!AU108</f>
        <v>0</v>
      </c>
      <c r="I72" s="17">
        <f>[9]InputSummary!AV108</f>
        <v>0</v>
      </c>
    </row>
    <row r="73" spans="1:9" x14ac:dyDescent="0.25">
      <c r="A73" s="15" t="s">
        <v>56</v>
      </c>
      <c r="B73" s="1" t="s">
        <v>6</v>
      </c>
      <c r="C73" s="1" t="s">
        <v>57</v>
      </c>
      <c r="D73" s="1"/>
      <c r="E73" s="4">
        <f>SUM(E65:E72)</f>
        <v>-1.9120687723940062</v>
      </c>
      <c r="F73" s="4">
        <f t="shared" ref="F73:I73" si="23">SUM(F65:F72)</f>
        <v>0.17654835100897015</v>
      </c>
      <c r="G73" s="4">
        <f t="shared" si="23"/>
        <v>0.21247124263234113</v>
      </c>
      <c r="H73" s="4">
        <f t="shared" si="23"/>
        <v>0.248394134255712</v>
      </c>
      <c r="I73" s="18">
        <f t="shared" si="23"/>
        <v>0.28431702587908297</v>
      </c>
    </row>
    <row r="74" spans="1:9" x14ac:dyDescent="0.25">
      <c r="A74" s="16" t="s">
        <v>50</v>
      </c>
      <c r="B74" s="2" t="s">
        <v>6</v>
      </c>
      <c r="C74" s="2" t="s">
        <v>51</v>
      </c>
      <c r="D74" s="2"/>
      <c r="E74" s="3">
        <f>[9]Revenue!AR13</f>
        <v>0</v>
      </c>
      <c r="F74" s="3">
        <f>[9]Revenue!AS13</f>
        <v>0</v>
      </c>
      <c r="G74" s="3">
        <f>[9]Revenue!AT13</f>
        <v>0</v>
      </c>
      <c r="H74" s="3">
        <f>[9]Revenue!AU13</f>
        <v>0</v>
      </c>
      <c r="I74" s="17">
        <f>[9]Revenue!AV13</f>
        <v>0</v>
      </c>
    </row>
    <row r="75" spans="1:9" x14ac:dyDescent="0.25">
      <c r="A75" s="16" t="s">
        <v>52</v>
      </c>
      <c r="B75" s="2" t="s">
        <v>6</v>
      </c>
      <c r="C75" s="2" t="s">
        <v>53</v>
      </c>
      <c r="D75" s="2"/>
      <c r="E75" s="3">
        <f>[9]Revenue!AR14</f>
        <v>4.5746636446319533</v>
      </c>
      <c r="F75" s="3">
        <f>[9]Revenue!AS14</f>
        <v>0</v>
      </c>
      <c r="G75" s="3">
        <f>[9]Revenue!AT14</f>
        <v>0</v>
      </c>
      <c r="H75" s="3">
        <f>[9]Revenue!AU14</f>
        <v>0</v>
      </c>
      <c r="I75" s="17">
        <f>[9]Revenue!AV14</f>
        <v>0</v>
      </c>
    </row>
    <row r="76" spans="1:9" x14ac:dyDescent="0.25">
      <c r="A76" s="16" t="s">
        <v>54</v>
      </c>
      <c r="B76" s="2" t="s">
        <v>6</v>
      </c>
      <c r="C76" s="2" t="s">
        <v>55</v>
      </c>
      <c r="D76" s="2"/>
      <c r="E76" s="3">
        <f>[9]Revenue!AR15</f>
        <v>1.1499999999999999</v>
      </c>
      <c r="F76" s="3">
        <f>[9]Revenue!AS15</f>
        <v>0</v>
      </c>
      <c r="G76" s="3">
        <f>[9]Revenue!AT15</f>
        <v>0</v>
      </c>
      <c r="H76" s="3">
        <f>[9]Revenue!AU15</f>
        <v>0</v>
      </c>
      <c r="I76" s="17">
        <f>[9]Revenue!AV15</f>
        <v>0</v>
      </c>
    </row>
    <row r="77" spans="1:9" x14ac:dyDescent="0.25">
      <c r="A77" s="16" t="s">
        <v>58</v>
      </c>
      <c r="B77" s="2" t="s">
        <v>6</v>
      </c>
      <c r="C77" s="2" t="s">
        <v>59</v>
      </c>
      <c r="D77" s="2"/>
      <c r="E77" s="3">
        <f>[9]Revenue!AR17</f>
        <v>0.40564641872741769</v>
      </c>
      <c r="F77" s="3">
        <f>[9]Revenue!AS17</f>
        <v>0.40564641872741769</v>
      </c>
      <c r="G77" s="3">
        <f>[9]Revenue!AT17</f>
        <v>0.40564641872741769</v>
      </c>
      <c r="H77" s="3">
        <f>[9]Revenue!AU17</f>
        <v>0.40564641872741769</v>
      </c>
      <c r="I77" s="17">
        <f>[9]Revenue!AV17</f>
        <v>0.40564641872741769</v>
      </c>
    </row>
    <row r="78" spans="1:9" x14ac:dyDescent="0.25">
      <c r="A78" s="16" t="s">
        <v>60</v>
      </c>
      <c r="B78" s="2" t="s">
        <v>6</v>
      </c>
      <c r="C78" s="2" t="s">
        <v>61</v>
      </c>
      <c r="D78" s="2"/>
      <c r="E78" s="3">
        <f>[9]Revenue!AR18</f>
        <v>3.6388548380491381E-2</v>
      </c>
      <c r="F78" s="3">
        <f>[9]Revenue!AS18</f>
        <v>0</v>
      </c>
      <c r="G78" s="3">
        <f>[9]Revenue!AT18</f>
        <v>0</v>
      </c>
      <c r="H78" s="3">
        <f>[9]Revenue!AU18</f>
        <v>0</v>
      </c>
      <c r="I78" s="17">
        <f>[9]Revenue!AV18</f>
        <v>0</v>
      </c>
    </row>
    <row r="79" spans="1:9" x14ac:dyDescent="0.25">
      <c r="A79" s="21" t="s">
        <v>62</v>
      </c>
      <c r="B79" s="7" t="s">
        <v>6</v>
      </c>
      <c r="C79" s="7"/>
      <c r="D79" s="7"/>
      <c r="E79" s="8">
        <f>SUM(E64:E78)-E73</f>
        <v>307.71190977616084</v>
      </c>
      <c r="F79" s="8">
        <f t="shared" ref="F79:I79" si="24">SUM(F64:F78)-F73</f>
        <v>310.00044605231358</v>
      </c>
      <c r="G79" s="8">
        <f t="shared" si="24"/>
        <v>320.16544518050506</v>
      </c>
      <c r="H79" s="8">
        <f t="shared" si="24"/>
        <v>322.16903394178121</v>
      </c>
      <c r="I79" s="22">
        <f t="shared" si="24"/>
        <v>323.92022768665669</v>
      </c>
    </row>
    <row r="80" spans="1:9" x14ac:dyDescent="0.25">
      <c r="A80" s="16" t="s">
        <v>63</v>
      </c>
      <c r="B80" s="2" t="s">
        <v>6</v>
      </c>
      <c r="C80" s="2" t="s">
        <v>64</v>
      </c>
      <c r="D80" s="2"/>
      <c r="E80" s="3">
        <f>[9]Revenue!AR20</f>
        <v>5.4983983201851725</v>
      </c>
      <c r="F80" s="3">
        <f>[9]Revenue!AS20</f>
        <v>4.8212159343555649</v>
      </c>
      <c r="G80" s="3">
        <f>[9]Revenue!AT20</f>
        <v>2.9742395810332076</v>
      </c>
      <c r="H80" s="3">
        <f>[9]Revenue!AU20</f>
        <v>6.6005262995665444</v>
      </c>
      <c r="I80" s="17">
        <f>[9]Revenue!AV20</f>
        <v>7.5072958179206317</v>
      </c>
    </row>
    <row r="81" spans="1:9" x14ac:dyDescent="0.25">
      <c r="A81" s="16" t="s">
        <v>65</v>
      </c>
      <c r="B81" s="2" t="s">
        <v>6</v>
      </c>
      <c r="C81" s="2" t="s">
        <v>66</v>
      </c>
      <c r="D81" s="2"/>
      <c r="E81" s="3">
        <f>[9]Revenue!AR21</f>
        <v>0</v>
      </c>
      <c r="F81" s="3">
        <f>[9]Revenue!AS21</f>
        <v>0</v>
      </c>
      <c r="G81" s="3">
        <f>[9]Revenue!AT21</f>
        <v>0</v>
      </c>
      <c r="H81" s="3">
        <f>[9]Revenue!AU21</f>
        <v>0</v>
      </c>
      <c r="I81" s="17">
        <f>[9]Revenue!AV21</f>
        <v>0</v>
      </c>
    </row>
    <row r="82" spans="1:9" ht="15.75" thickBot="1" x14ac:dyDescent="0.3">
      <c r="A82" s="55" t="s">
        <v>67</v>
      </c>
      <c r="B82" s="56" t="s">
        <v>6</v>
      </c>
      <c r="C82" s="56"/>
      <c r="D82" s="56"/>
      <c r="E82" s="57">
        <f>SUM(E79:E81)</f>
        <v>313.21030809634601</v>
      </c>
      <c r="F82" s="57">
        <f t="shared" ref="F82:I82" si="25">SUM(F79:F81)</f>
        <v>314.82166198666914</v>
      </c>
      <c r="G82" s="57">
        <f t="shared" si="25"/>
        <v>323.13968476153826</v>
      </c>
      <c r="H82" s="57">
        <f t="shared" si="25"/>
        <v>328.76956024134773</v>
      </c>
      <c r="I82" s="58">
        <f t="shared" si="25"/>
        <v>331.42752350457732</v>
      </c>
    </row>
    <row r="83" spans="1:9" x14ac:dyDescent="0.25">
      <c r="A83" s="30" t="s">
        <v>95</v>
      </c>
      <c r="B83" s="31" t="s">
        <v>94</v>
      </c>
      <c r="C83" s="31" t="s">
        <v>93</v>
      </c>
      <c r="D83" s="31" t="s">
        <v>0</v>
      </c>
      <c r="E83" s="31" t="s">
        <v>1</v>
      </c>
      <c r="F83" s="31" t="s">
        <v>2</v>
      </c>
      <c r="G83" s="31" t="s">
        <v>3</v>
      </c>
      <c r="H83" s="31" t="s">
        <v>4</v>
      </c>
      <c r="I83" s="32" t="s">
        <v>70</v>
      </c>
    </row>
    <row r="84" spans="1:9" x14ac:dyDescent="0.25">
      <c r="A84" s="23" t="s">
        <v>68</v>
      </c>
      <c r="B84" s="9">
        <f>[9]AR!AO16</f>
        <v>1</v>
      </c>
      <c r="C84" s="9">
        <f>[9]AR!AP16</f>
        <v>1.0577620396600564</v>
      </c>
      <c r="D84" s="9">
        <f>[9]AR!AQ16</f>
        <v>1.1939376770538244</v>
      </c>
      <c r="E84" s="9">
        <f>[9]AR!AR16</f>
        <v>1.2806226704273584</v>
      </c>
      <c r="F84" s="9">
        <f>[9]AR!AS16</f>
        <v>1.3178657700971899</v>
      </c>
      <c r="G84" s="9">
        <f>[9]AR!AT16</f>
        <v>1.3403394556854997</v>
      </c>
      <c r="H84" s="9">
        <f>[9]AR!AU16</f>
        <v>1.3610096096442998</v>
      </c>
      <c r="I84" s="24">
        <f>[9]AR!AV16</f>
        <v>1.3854558618591482</v>
      </c>
    </row>
    <row r="85" spans="1:9" ht="15.75" thickBot="1" x14ac:dyDescent="0.3">
      <c r="A85" s="59" t="s">
        <v>69</v>
      </c>
      <c r="B85" s="60">
        <f>[9]AR!AO17</f>
        <v>294.16666666666669</v>
      </c>
      <c r="C85" s="60">
        <f>[9]AR!AP17</f>
        <v>311.1583333333333</v>
      </c>
      <c r="D85" s="60">
        <f>[9]AR!AQ17</f>
        <v>351.2166666666667</v>
      </c>
      <c r="E85" s="60">
        <f>[9]AR!AR17</f>
        <v>376.71650221738128</v>
      </c>
      <c r="F85" s="60">
        <f>[9]AR!AS17</f>
        <v>387.67218070359007</v>
      </c>
      <c r="G85" s="60">
        <f>[9]AR!AT17</f>
        <v>394.28318988081787</v>
      </c>
      <c r="H85" s="60">
        <f>[9]AR!AU17</f>
        <v>400.36366017036488</v>
      </c>
      <c r="I85" s="61">
        <f>[9]AR!AV17</f>
        <v>407.55493269689941</v>
      </c>
    </row>
    <row r="86" spans="1:9" ht="15.75" thickBot="1" x14ac:dyDescent="0.3">
      <c r="A86" s="39"/>
      <c r="B86" s="40"/>
      <c r="C86" s="40"/>
      <c r="D86" s="40"/>
      <c r="E86" s="41"/>
      <c r="F86" s="40"/>
      <c r="G86" s="40"/>
      <c r="H86" s="40"/>
      <c r="I86" s="42"/>
    </row>
    <row r="87" spans="1:9" x14ac:dyDescent="0.25">
      <c r="A87" s="35" t="s">
        <v>67</v>
      </c>
      <c r="B87" s="36" t="s">
        <v>71</v>
      </c>
      <c r="C87" s="36" t="s">
        <v>72</v>
      </c>
      <c r="D87" s="36"/>
      <c r="E87" s="53">
        <f>E82*E85/$B85</f>
        <v>401.10422115971829</v>
      </c>
      <c r="F87" s="53">
        <f>F82*F85/$B85</f>
        <v>414.89269201733896</v>
      </c>
      <c r="G87" s="53">
        <f>G82*G85/$B85</f>
        <v>433.11686918366416</v>
      </c>
      <c r="H87" s="53">
        <f>H82*H85/$B85</f>
        <v>447.45853084700479</v>
      </c>
      <c r="I87" s="54">
        <f>I82*I85/$B85</f>
        <v>459.17820522087726</v>
      </c>
    </row>
    <row r="88" spans="1:9" x14ac:dyDescent="0.25">
      <c r="A88" s="16" t="s">
        <v>73</v>
      </c>
      <c r="B88" s="2" t="s">
        <v>71</v>
      </c>
      <c r="C88" s="2" t="s">
        <v>74</v>
      </c>
      <c r="D88" s="2"/>
      <c r="E88" s="3">
        <f>E99</f>
        <v>-5.984428007757244</v>
      </c>
      <c r="F88" s="3">
        <f t="shared" ref="F88:I88" si="26">F99</f>
        <v>14.241738457438707</v>
      </c>
      <c r="G88" s="3">
        <f t="shared" si="26"/>
        <v>-36.163267072306155</v>
      </c>
      <c r="H88" s="3">
        <f t="shared" si="26"/>
        <v>-20.182737040766277</v>
      </c>
      <c r="I88" s="17">
        <f t="shared" si="26"/>
        <v>0</v>
      </c>
    </row>
    <row r="89" spans="1:9" x14ac:dyDescent="0.25">
      <c r="A89" s="16" t="s">
        <v>75</v>
      </c>
      <c r="B89" s="2" t="s">
        <v>71</v>
      </c>
      <c r="C89" s="2" t="s">
        <v>76</v>
      </c>
      <c r="D89" s="2"/>
      <c r="E89" s="3">
        <f>[9]AR!AR51</f>
        <v>0</v>
      </c>
      <c r="F89" s="3">
        <f>[9]AR!AS51</f>
        <v>0</v>
      </c>
      <c r="G89" s="3">
        <f>[9]AR!AT51</f>
        <v>0</v>
      </c>
      <c r="H89" s="3">
        <f>[9]AR!AU51</f>
        <v>0</v>
      </c>
      <c r="I89" s="17">
        <f>[9]AR!AV51</f>
        <v>0</v>
      </c>
    </row>
    <row r="90" spans="1:9" ht="15.75" thickBot="1" x14ac:dyDescent="0.3">
      <c r="A90" s="33" t="s">
        <v>77</v>
      </c>
      <c r="B90" s="34" t="s">
        <v>71</v>
      </c>
      <c r="C90" s="34" t="s">
        <v>78</v>
      </c>
      <c r="D90" s="34"/>
      <c r="E90" s="47">
        <f>[9]AR!AR52</f>
        <v>-5.9094564983830171</v>
      </c>
      <c r="F90" s="47">
        <f>[9]AR!AS52</f>
        <v>35.250508685063934</v>
      </c>
      <c r="G90" s="47">
        <f>[9]AR!AT52</f>
        <v>0.16115103043789794</v>
      </c>
      <c r="H90" s="47">
        <f>[9]AR!AU52</f>
        <v>0.1961067863309412</v>
      </c>
      <c r="I90" s="48">
        <f>[9]AR!AV52</f>
        <v>0.20792743582450135</v>
      </c>
    </row>
    <row r="91" spans="1:9" ht="15.75" thickBot="1" x14ac:dyDescent="0.3">
      <c r="A91" s="49" t="s">
        <v>79</v>
      </c>
      <c r="B91" s="50" t="s">
        <v>71</v>
      </c>
      <c r="C91" s="50" t="s">
        <v>80</v>
      </c>
      <c r="D91" s="51">
        <f>[9]AR!$AQ$58</f>
        <v>407.64786269443312</v>
      </c>
      <c r="E91" s="51">
        <f>SUM(E87:E90)</f>
        <v>389.21033665357805</v>
      </c>
      <c r="F91" s="51">
        <f t="shared" ref="F91:I91" si="27">SUM(F87:F90)</f>
        <v>464.38493915984162</v>
      </c>
      <c r="G91" s="51">
        <f t="shared" si="27"/>
        <v>397.11475314179592</v>
      </c>
      <c r="H91" s="51">
        <f t="shared" si="27"/>
        <v>427.47190059256945</v>
      </c>
      <c r="I91" s="52">
        <f t="shared" si="27"/>
        <v>459.38613265670176</v>
      </c>
    </row>
    <row r="92" spans="1:9" ht="15.75" thickBot="1" x14ac:dyDescent="0.3">
      <c r="A92" s="39"/>
      <c r="B92" s="40"/>
      <c r="C92" s="40"/>
      <c r="D92" s="40"/>
      <c r="E92" s="41"/>
      <c r="F92" s="40"/>
      <c r="G92" s="40"/>
      <c r="H92" s="40"/>
      <c r="I92" s="42"/>
    </row>
    <row r="93" spans="1:9" x14ac:dyDescent="0.25">
      <c r="A93" s="43" t="s">
        <v>81</v>
      </c>
      <c r="B93" s="44" t="s">
        <v>71</v>
      </c>
      <c r="C93" s="44" t="s">
        <v>82</v>
      </c>
      <c r="D93" s="45">
        <f>[9]AR!AQ$62</f>
        <v>413.09147007999997</v>
      </c>
      <c r="E93" s="45">
        <f>[9]AR!AR$62</f>
        <v>375.89994164000001</v>
      </c>
      <c r="F93" s="45">
        <f>[9]AR!AS$62</f>
        <v>498.52929279587153</v>
      </c>
      <c r="G93" s="45">
        <f>[9]AR!AT$62</f>
        <v>416.19988552826158</v>
      </c>
      <c r="H93" s="45">
        <f>[9]AR!AU$62</f>
        <v>427.47190059256951</v>
      </c>
      <c r="I93" s="46">
        <f>[9]AR!AV$62</f>
        <v>459.38613265670176</v>
      </c>
    </row>
    <row r="94" spans="1:9" ht="15.75" thickBot="1" x14ac:dyDescent="0.3">
      <c r="A94" s="26" t="s">
        <v>83</v>
      </c>
      <c r="B94" s="27" t="s">
        <v>71</v>
      </c>
      <c r="C94" s="27"/>
      <c r="D94" s="28">
        <f>D91-D93</f>
        <v>-5.4436073855668496</v>
      </c>
      <c r="E94" s="28">
        <f t="shared" ref="E94:I94" si="28">E91-E93</f>
        <v>13.310395013578045</v>
      </c>
      <c r="F94" s="28">
        <f t="shared" si="28"/>
        <v>-34.144353636029905</v>
      </c>
      <c r="G94" s="28">
        <f t="shared" si="28"/>
        <v>-19.085132386465659</v>
      </c>
      <c r="H94" s="28">
        <f t="shared" si="28"/>
        <v>0</v>
      </c>
      <c r="I94" s="29">
        <f t="shared" si="28"/>
        <v>0</v>
      </c>
    </row>
    <row r="95" spans="1:9" ht="15.75" thickBot="1" x14ac:dyDescent="0.3">
      <c r="A95" s="39"/>
      <c r="B95" s="40"/>
      <c r="C95" s="40"/>
      <c r="D95" s="40"/>
      <c r="E95" s="40"/>
      <c r="F95" s="40"/>
      <c r="G95" s="40"/>
      <c r="H95" s="40"/>
      <c r="I95" s="42"/>
    </row>
    <row r="96" spans="1:9" x14ac:dyDescent="0.25">
      <c r="A96" s="35" t="s">
        <v>84</v>
      </c>
      <c r="B96" s="36" t="s">
        <v>13</v>
      </c>
      <c r="C96" s="36" t="s">
        <v>85</v>
      </c>
      <c r="D96" s="37">
        <f>[9]AR!AQ$65</f>
        <v>2.4934999999999999E-2</v>
      </c>
      <c r="E96" s="37">
        <f>[9]AR!AR$65</f>
        <v>3.97335776E-2</v>
      </c>
      <c r="F96" s="37">
        <f>[9]AR!AS$65</f>
        <v>4.1370183200000001E-2</v>
      </c>
      <c r="G96" s="37">
        <f>[9]AR!AT$65</f>
        <v>4.1450170800000005E-2</v>
      </c>
      <c r="H96" s="37">
        <f>[9]AR!AU$65</f>
        <v>4.15681044E-2</v>
      </c>
      <c r="I96" s="38">
        <f>[9]AR!AV$65</f>
        <v>4.1755693600000005E-2</v>
      </c>
    </row>
    <row r="97" spans="1:9" x14ac:dyDescent="0.25">
      <c r="A97" s="16" t="s">
        <v>86</v>
      </c>
      <c r="B97" s="2" t="s">
        <v>87</v>
      </c>
      <c r="C97" s="2" t="s">
        <v>88</v>
      </c>
      <c r="D97" s="10">
        <f>[9]AR!AQ66</f>
        <v>7.2604286672181217E-2</v>
      </c>
      <c r="E97" s="10">
        <f>[9]AR!AR66</f>
        <v>2.9082024338522139E-2</v>
      </c>
      <c r="F97" s="10">
        <f>[9]AR!AS66</f>
        <v>1.705309151982326E-2</v>
      </c>
      <c r="G97" s="10">
        <f>[9]AR!AT66</f>
        <v>1.5421581354723601E-2</v>
      </c>
      <c r="H97" s="10">
        <f>[9]AR!AU66</f>
        <v>1.7961851291584452E-2</v>
      </c>
      <c r="I97" s="25"/>
    </row>
    <row r="98" spans="1:9" x14ac:dyDescent="0.25">
      <c r="A98" s="16" t="s">
        <v>89</v>
      </c>
      <c r="B98" s="2" t="s">
        <v>90</v>
      </c>
      <c r="C98" s="2" t="s">
        <v>91</v>
      </c>
      <c r="D98" s="10">
        <f>(1+D96)*(1+D97)-1</f>
        <v>9.934967456035193E-2</v>
      </c>
      <c r="E98" s="10">
        <f t="shared" ref="E98:H98" si="29">(1+E96)*(1+E97)-1</f>
        <v>6.9971134809341917E-2</v>
      </c>
      <c r="F98" s="10">
        <f t="shared" si="29"/>
        <v>5.9128764240124587E-2</v>
      </c>
      <c r="G98" s="10">
        <f t="shared" si="29"/>
        <v>5.7510979335883006E-2</v>
      </c>
      <c r="H98" s="10">
        <f t="shared" si="29"/>
        <v>6.02765958012903E-2</v>
      </c>
      <c r="I98" s="25"/>
    </row>
    <row r="99" spans="1:9" ht="15.75" thickBot="1" x14ac:dyDescent="0.3">
      <c r="A99" s="26" t="s">
        <v>92</v>
      </c>
      <c r="B99" s="27" t="s">
        <v>71</v>
      </c>
      <c r="C99" s="27" t="s">
        <v>74</v>
      </c>
      <c r="D99" s="28"/>
      <c r="E99" s="28">
        <f>D94*(1+D98)</f>
        <v>-5.984428007757244</v>
      </c>
      <c r="F99" s="28">
        <f t="shared" ref="F99:I99" si="30">E94*(1+E98)</f>
        <v>14.241738457438707</v>
      </c>
      <c r="G99" s="28">
        <f t="shared" si="30"/>
        <v>-36.163267072306155</v>
      </c>
      <c r="H99" s="28">
        <f t="shared" si="30"/>
        <v>-20.182737040766277</v>
      </c>
      <c r="I99" s="29">
        <f t="shared" si="30"/>
        <v>0</v>
      </c>
    </row>
    <row r="101" spans="1:9" x14ac:dyDescent="0.25">
      <c r="A101" t="s">
        <v>132</v>
      </c>
      <c r="E101" s="98">
        <f>E91-[9]AR!AR$53</f>
        <v>0</v>
      </c>
      <c r="F101" s="98">
        <f>F91-[9]AR!AS$53</f>
        <v>0</v>
      </c>
      <c r="G101" s="98">
        <f>G91-[9]AR!AT$53</f>
        <v>0</v>
      </c>
      <c r="H101" s="98">
        <f>H91-[9]AR!AU$53</f>
        <v>0</v>
      </c>
      <c r="I101" s="98">
        <f>I91-[9]AR!AV$53</f>
        <v>0</v>
      </c>
    </row>
    <row r="103" spans="1:9" x14ac:dyDescent="0.25">
      <c r="E103" s="211"/>
      <c r="F103" s="211"/>
    </row>
    <row r="104" spans="1:9" x14ac:dyDescent="0.25">
      <c r="F104" s="158"/>
    </row>
    <row r="105" spans="1:9" x14ac:dyDescent="0.25">
      <c r="E105" s="212"/>
      <c r="F105" s="158"/>
    </row>
    <row r="106" spans="1:9" x14ac:dyDescent="0.25">
      <c r="E106" s="158"/>
      <c r="F106" s="158"/>
    </row>
    <row r="107" spans="1:9" x14ac:dyDescent="0.25">
      <c r="E107" s="211"/>
      <c r="F107" s="211"/>
    </row>
  </sheetData>
  <pageMargins left="0.7" right="0.7" top="0.75" bottom="0.75" header="0.3" footer="0.3"/>
  <pageSetup paperSize="8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75" zoomScaleNormal="75" workbookViewId="0">
      <selection activeCell="D25" sqref="D25"/>
    </sheetView>
  </sheetViews>
  <sheetFormatPr defaultRowHeight="15" x14ac:dyDescent="0.25"/>
  <cols>
    <col min="1" max="1" width="86.7109375" bestFit="1" customWidth="1"/>
    <col min="2" max="2" width="19.85546875" bestFit="1" customWidth="1"/>
    <col min="3" max="3" width="19.7109375" bestFit="1" customWidth="1"/>
    <col min="4" max="5" width="11.42578125" bestFit="1" customWidth="1"/>
    <col min="6" max="7" width="11.7109375" bestFit="1" customWidth="1"/>
    <col min="8" max="8" width="11.42578125" customWidth="1"/>
    <col min="9" max="9" width="11.7109375" bestFit="1" customWidth="1"/>
  </cols>
  <sheetData>
    <row r="1" spans="1:9" ht="15.75" thickBot="1" x14ac:dyDescent="0.3">
      <c r="A1" s="11" t="s">
        <v>324</v>
      </c>
      <c r="B1" s="12">
        <v>45505</v>
      </c>
      <c r="C1" s="13"/>
      <c r="D1" s="13"/>
      <c r="E1" s="13"/>
      <c r="F1" s="13"/>
      <c r="G1" s="13"/>
      <c r="H1" s="13"/>
      <c r="I1" s="14"/>
    </row>
    <row r="2" spans="1:9" x14ac:dyDescent="0.25">
      <c r="A2" s="70" t="s">
        <v>95</v>
      </c>
      <c r="B2" s="71"/>
      <c r="C2" s="71"/>
      <c r="D2" s="71" t="s">
        <v>0</v>
      </c>
      <c r="E2" s="71" t="s">
        <v>1</v>
      </c>
      <c r="F2" s="71" t="s">
        <v>2</v>
      </c>
      <c r="G2" s="71" t="s">
        <v>3</v>
      </c>
      <c r="H2" s="71" t="s">
        <v>4</v>
      </c>
      <c r="I2" s="72" t="s">
        <v>70</v>
      </c>
    </row>
    <row r="3" spans="1:9" x14ac:dyDescent="0.25">
      <c r="A3" s="15" t="s">
        <v>5</v>
      </c>
      <c r="B3" s="1" t="s">
        <v>6</v>
      </c>
      <c r="C3" s="1" t="s">
        <v>7</v>
      </c>
      <c r="D3" s="1"/>
      <c r="E3" s="4">
        <f>'Table 1 ED2 Detailed'!E39</f>
        <v>55.851345781463408</v>
      </c>
      <c r="F3" s="4">
        <f>'Table 1 ED2 Detailed'!F39</f>
        <v>61.673984670753342</v>
      </c>
      <c r="G3" s="4">
        <f>'Table 1 ED2 Detailed'!G39</f>
        <v>66.996462689311358</v>
      </c>
      <c r="H3" s="4">
        <f>'Table 1 ED2 Detailed'!H39</f>
        <v>63.251416781685073</v>
      </c>
      <c r="I3" s="18">
        <f>'Table 1 ED2 Detailed'!I39</f>
        <v>59.883557894515171</v>
      </c>
    </row>
    <row r="4" spans="1:9" x14ac:dyDescent="0.25">
      <c r="A4" s="15" t="s">
        <v>8</v>
      </c>
      <c r="B4" s="1" t="s">
        <v>6</v>
      </c>
      <c r="C4" s="1" t="s">
        <v>21</v>
      </c>
      <c r="D4" s="1"/>
      <c r="E4" s="4">
        <f>'Table 1 ED2 Detailed'!E43</f>
        <v>130.64825898444317</v>
      </c>
      <c r="F4" s="4">
        <f>'Table 1 ED2 Detailed'!F43</f>
        <v>130.33408349594245</v>
      </c>
      <c r="G4" s="4">
        <f>'Table 1 ED2 Detailed'!G43</f>
        <v>129.79233594688307</v>
      </c>
      <c r="H4" s="4">
        <f>'Table 1 ED2 Detailed'!H43</f>
        <v>130.0612606606735</v>
      </c>
      <c r="I4" s="18">
        <f>'Table 1 ED2 Detailed'!I43</f>
        <v>129.56090626466533</v>
      </c>
    </row>
    <row r="5" spans="1:9" x14ac:dyDescent="0.25">
      <c r="A5" s="15" t="s">
        <v>20</v>
      </c>
      <c r="B5" s="1" t="s">
        <v>6</v>
      </c>
      <c r="C5" s="1" t="s">
        <v>22</v>
      </c>
      <c r="D5" s="1"/>
      <c r="E5" s="4">
        <f>'Table 1 ED2 Detailed'!E50</f>
        <v>78.047150509205181</v>
      </c>
      <c r="F5" s="4">
        <f>'Table 1 ED2 Detailed'!F50</f>
        <v>84.993635184810557</v>
      </c>
      <c r="G5" s="4">
        <f>'Table 1 ED2 Detailed'!G50</f>
        <v>90.02712572083594</v>
      </c>
      <c r="H5" s="4">
        <f>'Table 1 ED2 Detailed'!H50</f>
        <v>95.521582575733277</v>
      </c>
      <c r="I5" s="18">
        <f>'Table 1 ED2 Detailed'!I50</f>
        <v>100.72269277053059</v>
      </c>
    </row>
    <row r="6" spans="1:9" x14ac:dyDescent="0.25">
      <c r="A6" s="16" t="s">
        <v>24</v>
      </c>
      <c r="B6" s="2" t="s">
        <v>6</v>
      </c>
      <c r="C6" s="2" t="s">
        <v>25</v>
      </c>
      <c r="D6" s="2"/>
      <c r="E6" s="3">
        <f>[9]InputSummary!AR83</f>
        <v>1.5481531334584167</v>
      </c>
      <c r="F6" s="3">
        <f>[9]InputSummary!AS83</f>
        <v>1.5379118453633793</v>
      </c>
      <c r="G6" s="3">
        <f>[9]InputSummary!AT83</f>
        <v>1.5379118453633793</v>
      </c>
      <c r="H6" s="3">
        <f>[9]InputSummary!AU83</f>
        <v>1.5379118453633793</v>
      </c>
      <c r="I6" s="17">
        <f>[9]InputSummary!AV83</f>
        <v>1.5379118453633793</v>
      </c>
    </row>
    <row r="7" spans="1:9" x14ac:dyDescent="0.25">
      <c r="A7" s="16" t="s">
        <v>26</v>
      </c>
      <c r="B7" s="2" t="s">
        <v>6</v>
      </c>
      <c r="C7" s="2" t="s">
        <v>27</v>
      </c>
      <c r="D7" s="2"/>
      <c r="E7" s="3">
        <f>[9]InputSummary!AR84</f>
        <v>18.911815759061863</v>
      </c>
      <c r="F7" s="3">
        <f>[9]InputSummary!AS84</f>
        <v>19.970956243055891</v>
      </c>
      <c r="G7" s="3">
        <f>[9]InputSummary!AT84</f>
        <v>20.151842219976167</v>
      </c>
      <c r="H7" s="3">
        <f>[9]InputSummary!AU84</f>
        <v>20.279875092477624</v>
      </c>
      <c r="I7" s="17">
        <f>[9]InputSummary!AV84</f>
        <v>20.54969776136149</v>
      </c>
    </row>
    <row r="8" spans="1:9" x14ac:dyDescent="0.25">
      <c r="A8" s="16" t="s">
        <v>28</v>
      </c>
      <c r="B8" s="2" t="s">
        <v>6</v>
      </c>
      <c r="C8" s="2" t="s">
        <v>29</v>
      </c>
      <c r="D8" s="2"/>
      <c r="E8" s="3">
        <f>[9]InputSummary!AR85</f>
        <v>5.1785745740288149</v>
      </c>
      <c r="F8" s="3">
        <f>[9]InputSummary!AS85</f>
        <v>7.8719057563439909</v>
      </c>
      <c r="G8" s="3">
        <f>[9]InputSummary!AT85</f>
        <v>8.2734565784959884</v>
      </c>
      <c r="H8" s="3">
        <f>[9]InputSummary!AU85</f>
        <v>8.2734565784959848</v>
      </c>
      <c r="I8" s="17">
        <f>[9]InputSummary!AV85</f>
        <v>8.2734565784959866</v>
      </c>
    </row>
    <row r="9" spans="1:9" x14ac:dyDescent="0.25">
      <c r="A9" s="16" t="s">
        <v>30</v>
      </c>
      <c r="B9" s="2" t="s">
        <v>6</v>
      </c>
      <c r="C9" s="2" t="s">
        <v>31</v>
      </c>
      <c r="D9" s="2"/>
      <c r="E9" s="3">
        <f>[9]InputSummary!AR86</f>
        <v>1.5364400814046104</v>
      </c>
      <c r="F9" s="3">
        <f>[9]InputSummary!AS86</f>
        <v>1.6377376796476351</v>
      </c>
      <c r="G9" s="3">
        <f>[9]InputSummary!AT86</f>
        <v>1.6463813689065041</v>
      </c>
      <c r="H9" s="3">
        <f>[9]InputSummary!AU86</f>
        <v>1.6389898543691999</v>
      </c>
      <c r="I9" s="17">
        <f>[9]InputSummary!AV86</f>
        <v>1.6476411271182239</v>
      </c>
    </row>
    <row r="10" spans="1:9" x14ac:dyDescent="0.25">
      <c r="A10" s="16" t="s">
        <v>32</v>
      </c>
      <c r="B10" s="2" t="s">
        <v>6</v>
      </c>
      <c r="C10" s="2" t="s">
        <v>33</v>
      </c>
      <c r="D10" s="2"/>
      <c r="E10" s="3">
        <f>[9]InputSummary!AR87</f>
        <v>0.15875089883592058</v>
      </c>
      <c r="F10" s="3">
        <f>[9]InputSummary!AS87</f>
        <v>0.43190000000000001</v>
      </c>
      <c r="G10" s="3">
        <f>[9]InputSummary!AT87</f>
        <v>0.58550000000000002</v>
      </c>
      <c r="H10" s="3">
        <f>[9]InputSummary!AU87</f>
        <v>0.4143</v>
      </c>
      <c r="I10" s="17">
        <f>[9]InputSummary!AV87</f>
        <v>0.41820000000000002</v>
      </c>
    </row>
    <row r="11" spans="1:9" x14ac:dyDescent="0.25">
      <c r="A11" s="16" t="s">
        <v>34</v>
      </c>
      <c r="B11" s="2" t="s">
        <v>6</v>
      </c>
      <c r="C11" s="2" t="s">
        <v>35</v>
      </c>
      <c r="D11" s="2"/>
      <c r="E11" s="3">
        <f>[9]InputSummary!AR88</f>
        <v>1.8428535231321815E-2</v>
      </c>
      <c r="F11" s="3">
        <f>[9]InputSummary!AS88</f>
        <v>3.6200000000000003E-2</v>
      </c>
      <c r="G11" s="3">
        <f>[9]InputSummary!AT88</f>
        <v>3.6200000000000003E-2</v>
      </c>
      <c r="H11" s="3">
        <f>[9]InputSummary!AU88</f>
        <v>3.6200000000000003E-2</v>
      </c>
      <c r="I11" s="17">
        <f>[9]InputSummary!AV88</f>
        <v>3.6200000000000003E-2</v>
      </c>
    </row>
    <row r="12" spans="1:9" x14ac:dyDescent="0.25">
      <c r="A12" s="16" t="s">
        <v>36</v>
      </c>
      <c r="B12" s="2" t="s">
        <v>6</v>
      </c>
      <c r="C12" s="2" t="s">
        <v>37</v>
      </c>
      <c r="D12" s="2"/>
      <c r="E12" s="3">
        <f>[9]InputSummary!AR89</f>
        <v>11.537200098971763</v>
      </c>
      <c r="F12" s="3">
        <f>[9]InputSummary!AS89</f>
        <v>0.36177781223878441</v>
      </c>
      <c r="G12" s="3">
        <f>[9]InputSummary!AT89</f>
        <v>0</v>
      </c>
      <c r="H12" s="3">
        <f>[9]InputSummary!AU89</f>
        <v>0</v>
      </c>
      <c r="I12" s="17">
        <f>[9]InputSummary!AV89</f>
        <v>0</v>
      </c>
    </row>
    <row r="13" spans="1:9" x14ac:dyDescent="0.25">
      <c r="A13" s="16" t="s">
        <v>38</v>
      </c>
      <c r="B13" s="2" t="s">
        <v>6</v>
      </c>
      <c r="C13" s="2" t="s">
        <v>39</v>
      </c>
      <c r="D13" s="2"/>
      <c r="E13" s="3">
        <f>[9]InputSummary!AR90</f>
        <v>2.1161580710543273E-2</v>
      </c>
      <c r="F13" s="3">
        <f>[9]InputSummary!AS90</f>
        <v>6.8158594421151769E-2</v>
      </c>
      <c r="G13" s="3">
        <f>[9]InputSummary!AT90</f>
        <v>1.1114937287807588E-4</v>
      </c>
      <c r="H13" s="3">
        <f>[9]InputSummary!AU90</f>
        <v>0</v>
      </c>
      <c r="I13" s="17">
        <f>[9]InputSummary!AV90</f>
        <v>0</v>
      </c>
    </row>
    <row r="14" spans="1:9" x14ac:dyDescent="0.25">
      <c r="A14" s="16" t="s">
        <v>40</v>
      </c>
      <c r="B14" s="2" t="s">
        <v>6</v>
      </c>
      <c r="C14" s="2" t="s">
        <v>41</v>
      </c>
      <c r="D14" s="2"/>
      <c r="E14" s="3">
        <f>[9]InputSummary!AR91</f>
        <v>0</v>
      </c>
      <c r="F14" s="3">
        <f>[9]InputSummary!AS91</f>
        <v>0.5</v>
      </c>
      <c r="G14" s="3">
        <f>[9]InputSummary!AT91</f>
        <v>0.5</v>
      </c>
      <c r="H14" s="3">
        <f>[9]InputSummary!AU91</f>
        <v>0.5</v>
      </c>
      <c r="I14" s="17">
        <f>[9]InputSummary!AV91</f>
        <v>0.59999999999999987</v>
      </c>
    </row>
    <row r="15" spans="1:9" x14ac:dyDescent="0.25">
      <c r="A15" s="16" t="s">
        <v>42</v>
      </c>
      <c r="B15" s="2" t="s">
        <v>6</v>
      </c>
      <c r="C15" s="2" t="s">
        <v>43</v>
      </c>
      <c r="D15" s="2"/>
      <c r="E15" s="3">
        <f>[9]InputSummary!AR92</f>
        <v>0</v>
      </c>
      <c r="F15" s="3">
        <f>[9]InputSummary!AS92</f>
        <v>0</v>
      </c>
      <c r="G15" s="3">
        <f>[9]InputSummary!AT92</f>
        <v>0</v>
      </c>
      <c r="H15" s="3">
        <f>[9]InputSummary!AU92</f>
        <v>0</v>
      </c>
      <c r="I15" s="17">
        <f>[9]InputSummary!AV92</f>
        <v>0</v>
      </c>
    </row>
    <row r="16" spans="1:9" x14ac:dyDescent="0.25">
      <c r="A16" s="16" t="s">
        <v>44</v>
      </c>
      <c r="B16" s="2" t="s">
        <v>6</v>
      </c>
      <c r="C16" s="2" t="s">
        <v>45</v>
      </c>
      <c r="D16" s="2"/>
      <c r="E16" s="3">
        <f>[9]InputSummary!AR93</f>
        <v>0</v>
      </c>
      <c r="F16" s="3">
        <f>[9]InputSummary!AS93</f>
        <v>0</v>
      </c>
      <c r="G16" s="3">
        <f>[9]InputSummary!AT93</f>
        <v>0</v>
      </c>
      <c r="H16" s="3">
        <f>[9]InputSummary!AU93</f>
        <v>0</v>
      </c>
      <c r="I16" s="17">
        <f>[9]InputSummary!AV93</f>
        <v>0</v>
      </c>
    </row>
    <row r="17" spans="1:9" x14ac:dyDescent="0.25">
      <c r="A17" s="16" t="s">
        <v>46</v>
      </c>
      <c r="B17" s="2" t="s">
        <v>6</v>
      </c>
      <c r="C17" s="2" t="s">
        <v>47</v>
      </c>
      <c r="D17" s="2"/>
      <c r="E17" s="3">
        <f>[9]InputSummary!AR94</f>
        <v>0</v>
      </c>
      <c r="F17" s="3">
        <f>[9]InputSummary!AS94</f>
        <v>0</v>
      </c>
      <c r="G17" s="3">
        <f>[9]InputSummary!AT94</f>
        <v>0</v>
      </c>
      <c r="H17" s="3">
        <f>[9]InputSummary!AU94</f>
        <v>0</v>
      </c>
      <c r="I17" s="17">
        <f>[9]InputSummary!AV94</f>
        <v>0</v>
      </c>
    </row>
    <row r="18" spans="1:9" x14ac:dyDescent="0.25">
      <c r="A18" s="15" t="s">
        <v>48</v>
      </c>
      <c r="B18" s="1" t="s">
        <v>6</v>
      </c>
      <c r="C18" s="1" t="s">
        <v>23</v>
      </c>
      <c r="D18" s="1"/>
      <c r="E18" s="4">
        <f>SUM(E6:E16)-E17</f>
        <v>38.910524661703249</v>
      </c>
      <c r="F18" s="4">
        <f t="shared" ref="F18:I18" si="0">SUM(F6:F16)-F17</f>
        <v>32.416547931070838</v>
      </c>
      <c r="G18" s="4">
        <f t="shared" si="0"/>
        <v>32.731403162114916</v>
      </c>
      <c r="H18" s="4">
        <f t="shared" si="0"/>
        <v>32.680733370706186</v>
      </c>
      <c r="I18" s="18">
        <f t="shared" si="0"/>
        <v>33.063107312339085</v>
      </c>
    </row>
    <row r="19" spans="1:9" x14ac:dyDescent="0.25">
      <c r="A19" s="21" t="s">
        <v>49</v>
      </c>
      <c r="B19" s="7" t="s">
        <v>6</v>
      </c>
      <c r="C19" s="7"/>
      <c r="D19" s="7"/>
      <c r="E19" s="8">
        <f>E3+E4+E5+E18</f>
        <v>303.45727993681498</v>
      </c>
      <c r="F19" s="8">
        <f t="shared" ref="F19:I19" si="1">F3+F4+F5+F18</f>
        <v>309.41825128257722</v>
      </c>
      <c r="G19" s="8">
        <f t="shared" si="1"/>
        <v>319.54732751914531</v>
      </c>
      <c r="H19" s="8">
        <f t="shared" si="1"/>
        <v>321.51499338879808</v>
      </c>
      <c r="I19" s="22">
        <f t="shared" si="1"/>
        <v>323.23026424205017</v>
      </c>
    </row>
    <row r="20" spans="1:9" x14ac:dyDescent="0.25">
      <c r="A20" s="15" t="s">
        <v>56</v>
      </c>
      <c r="B20" s="1" t="s">
        <v>6</v>
      </c>
      <c r="C20" s="1" t="s">
        <v>57</v>
      </c>
      <c r="D20" s="1"/>
      <c r="E20" s="4">
        <f>'Table 1 ED2 Detailed'!E73</f>
        <v>-1.9120687723940062</v>
      </c>
      <c r="F20" s="4">
        <f>'Table 1 ED2 Detailed'!F73</f>
        <v>0.17654835100897015</v>
      </c>
      <c r="G20" s="4">
        <f>'Table 1 ED2 Detailed'!G73</f>
        <v>0.21247124263234113</v>
      </c>
      <c r="H20" s="4">
        <f>'Table 1 ED2 Detailed'!H73</f>
        <v>0.248394134255712</v>
      </c>
      <c r="I20" s="18">
        <f>'Table 1 ED2 Detailed'!I73</f>
        <v>0.28431702587908297</v>
      </c>
    </row>
    <row r="21" spans="1:9" x14ac:dyDescent="0.25">
      <c r="A21" s="21" t="s">
        <v>62</v>
      </c>
      <c r="B21" s="7" t="s">
        <v>6</v>
      </c>
      <c r="C21" s="7"/>
      <c r="D21" s="7"/>
      <c r="E21" s="8">
        <f>'Table 1 ED2 Detailed'!E79</f>
        <v>307.71190977616084</v>
      </c>
      <c r="F21" s="8">
        <f>'Table 1 ED2 Detailed'!F79</f>
        <v>310.00044605231358</v>
      </c>
      <c r="G21" s="8">
        <f>'Table 1 ED2 Detailed'!G79</f>
        <v>320.16544518050506</v>
      </c>
      <c r="H21" s="8">
        <f>'Table 1 ED2 Detailed'!H79</f>
        <v>322.16903394178121</v>
      </c>
      <c r="I21" s="22">
        <f>'Table 1 ED2 Detailed'!I79</f>
        <v>323.92022768665669</v>
      </c>
    </row>
    <row r="22" spans="1:9" ht="15.75" thickBot="1" x14ac:dyDescent="0.3">
      <c r="A22" s="55" t="s">
        <v>67</v>
      </c>
      <c r="B22" s="56" t="s">
        <v>6</v>
      </c>
      <c r="C22" s="56"/>
      <c r="D22" s="56"/>
      <c r="E22" s="57">
        <f>'Table 1 ED2 Detailed'!E82</f>
        <v>313.21030809634601</v>
      </c>
      <c r="F22" s="57">
        <f>'Table 1 ED2 Detailed'!F82</f>
        <v>314.82166198666914</v>
      </c>
      <c r="G22" s="57">
        <f>'Table 1 ED2 Detailed'!G82</f>
        <v>323.13968476153826</v>
      </c>
      <c r="H22" s="57">
        <f>'Table 1 ED2 Detailed'!H82</f>
        <v>328.76956024134773</v>
      </c>
      <c r="I22" s="58">
        <f>'Table 1 ED2 Detailed'!I82</f>
        <v>331.42752350457732</v>
      </c>
    </row>
    <row r="23" spans="1:9" x14ac:dyDescent="0.25">
      <c r="A23" s="30" t="s">
        <v>95</v>
      </c>
      <c r="B23" s="31" t="s">
        <v>94</v>
      </c>
      <c r="C23" s="31" t="s">
        <v>93</v>
      </c>
      <c r="D23" s="31" t="s">
        <v>0</v>
      </c>
      <c r="E23" s="31" t="s">
        <v>1</v>
      </c>
      <c r="F23" s="31" t="s">
        <v>2</v>
      </c>
      <c r="G23" s="31" t="s">
        <v>3</v>
      </c>
      <c r="H23" s="31" t="s">
        <v>4</v>
      </c>
      <c r="I23" s="32" t="s">
        <v>70</v>
      </c>
    </row>
    <row r="24" spans="1:9" x14ac:dyDescent="0.25">
      <c r="A24" s="23" t="s">
        <v>68</v>
      </c>
      <c r="B24" s="9">
        <f>[9]AR!AO16</f>
        <v>1</v>
      </c>
      <c r="C24" s="9">
        <f>[9]AR!AP16</f>
        <v>1.0577620396600564</v>
      </c>
      <c r="D24" s="9">
        <f>[9]AR!AQ16</f>
        <v>1.1939376770538244</v>
      </c>
      <c r="E24" s="9">
        <f>[9]AR!AR16</f>
        <v>1.2806226704273584</v>
      </c>
      <c r="F24" s="9">
        <f>[9]AR!AS16</f>
        <v>1.3178657700971899</v>
      </c>
      <c r="G24" s="9">
        <f>[9]AR!AT16</f>
        <v>1.3403394556854997</v>
      </c>
      <c r="H24" s="9">
        <f>[9]AR!AU16</f>
        <v>1.3610096096442998</v>
      </c>
      <c r="I24" s="24">
        <f>[9]AR!AV16</f>
        <v>1.3854558618591482</v>
      </c>
    </row>
    <row r="25" spans="1:9" ht="15.75" thickBot="1" x14ac:dyDescent="0.3">
      <c r="A25" s="59" t="s">
        <v>69</v>
      </c>
      <c r="B25" s="60">
        <f>[9]AR!AO17</f>
        <v>294.16666666666669</v>
      </c>
      <c r="C25" s="60">
        <f>[9]AR!AP17</f>
        <v>311.1583333333333</v>
      </c>
      <c r="D25" s="60">
        <f>[9]AR!AQ17</f>
        <v>351.2166666666667</v>
      </c>
      <c r="E25" s="60">
        <f>[9]AR!AR17</f>
        <v>376.71650221738128</v>
      </c>
      <c r="F25" s="60">
        <f>[9]AR!AS17</f>
        <v>387.67218070359007</v>
      </c>
      <c r="G25" s="60">
        <f>[9]AR!AT17</f>
        <v>394.28318988081787</v>
      </c>
      <c r="H25" s="60">
        <f>[9]AR!AU17</f>
        <v>400.36366017036488</v>
      </c>
      <c r="I25" s="61">
        <f>[9]AR!AV17</f>
        <v>407.55493269689941</v>
      </c>
    </row>
    <row r="26" spans="1:9" ht="15.75" thickBot="1" x14ac:dyDescent="0.3">
      <c r="A26" s="39"/>
      <c r="B26" s="40"/>
      <c r="C26" s="40"/>
      <c r="D26" s="40"/>
      <c r="E26" s="41"/>
      <c r="F26" s="40"/>
      <c r="G26" s="40"/>
      <c r="H26" s="40"/>
      <c r="I26" s="42"/>
    </row>
    <row r="27" spans="1:9" x14ac:dyDescent="0.25">
      <c r="A27" s="35" t="s">
        <v>67</v>
      </c>
      <c r="B27" s="36" t="s">
        <v>71</v>
      </c>
      <c r="C27" s="36" t="s">
        <v>72</v>
      </c>
      <c r="D27" s="36"/>
      <c r="E27" s="53">
        <f>E22*E25/$B25</f>
        <v>401.10422115971829</v>
      </c>
      <c r="F27" s="53">
        <f>F22*F25/$B25</f>
        <v>414.89269201733896</v>
      </c>
      <c r="G27" s="53">
        <f>G22*G25/$B25</f>
        <v>433.11686918366416</v>
      </c>
      <c r="H27" s="53">
        <f>H22*H25/$B25</f>
        <v>447.45853084700479</v>
      </c>
      <c r="I27" s="54">
        <f>I22*I25/$B25</f>
        <v>459.17820522087726</v>
      </c>
    </row>
    <row r="28" spans="1:9" x14ac:dyDescent="0.25">
      <c r="A28" s="16" t="s">
        <v>73</v>
      </c>
      <c r="B28" s="2" t="s">
        <v>71</v>
      </c>
      <c r="C28" s="2" t="s">
        <v>74</v>
      </c>
      <c r="D28" s="2"/>
      <c r="E28" s="3">
        <f>E39</f>
        <v>-5.984428007757244</v>
      </c>
      <c r="F28" s="3">
        <f t="shared" ref="F28:I28" si="2">F39</f>
        <v>14.241738457438707</v>
      </c>
      <c r="G28" s="3">
        <f t="shared" si="2"/>
        <v>-36.163267072306155</v>
      </c>
      <c r="H28" s="3">
        <f t="shared" si="2"/>
        <v>-20.182737040766277</v>
      </c>
      <c r="I28" s="17">
        <f t="shared" si="2"/>
        <v>0</v>
      </c>
    </row>
    <row r="29" spans="1:9" x14ac:dyDescent="0.25">
      <c r="A29" s="16" t="s">
        <v>75</v>
      </c>
      <c r="B29" s="2" t="s">
        <v>71</v>
      </c>
      <c r="C29" s="2" t="s">
        <v>76</v>
      </c>
      <c r="D29" s="2"/>
      <c r="E29" s="3">
        <f>[9]AR!AR51</f>
        <v>0</v>
      </c>
      <c r="F29" s="3">
        <f>[9]AR!AS51</f>
        <v>0</v>
      </c>
      <c r="G29" s="3">
        <f>[9]AR!AT51</f>
        <v>0</v>
      </c>
      <c r="H29" s="3">
        <f>[9]AR!AU51</f>
        <v>0</v>
      </c>
      <c r="I29" s="17">
        <f>[9]AR!AV51</f>
        <v>0</v>
      </c>
    </row>
    <row r="30" spans="1:9" ht="15.75" thickBot="1" x14ac:dyDescent="0.3">
      <c r="A30" s="33" t="s">
        <v>77</v>
      </c>
      <c r="B30" s="34" t="s">
        <v>71</v>
      </c>
      <c r="C30" s="34" t="s">
        <v>78</v>
      </c>
      <c r="D30" s="34"/>
      <c r="E30" s="47">
        <f>[9]AR!AR52</f>
        <v>-5.9094564983830171</v>
      </c>
      <c r="F30" s="47">
        <f>[9]AR!AS52</f>
        <v>35.250508685063934</v>
      </c>
      <c r="G30" s="47">
        <f>[9]AR!AT52</f>
        <v>0.16115103043789794</v>
      </c>
      <c r="H30" s="47">
        <f>[9]AR!AU52</f>
        <v>0.1961067863309412</v>
      </c>
      <c r="I30" s="48">
        <f>[9]AR!AV52</f>
        <v>0.20792743582450135</v>
      </c>
    </row>
    <row r="31" spans="1:9" ht="15.75" thickBot="1" x14ac:dyDescent="0.3">
      <c r="A31" s="49" t="s">
        <v>79</v>
      </c>
      <c r="B31" s="50" t="s">
        <v>71</v>
      </c>
      <c r="C31" s="50" t="s">
        <v>80</v>
      </c>
      <c r="D31" s="51">
        <f>[9]AR!$AQ$58</f>
        <v>407.64786269443312</v>
      </c>
      <c r="E31" s="51">
        <f>SUM(E27:E30)</f>
        <v>389.21033665357805</v>
      </c>
      <c r="F31" s="51">
        <f t="shared" ref="F31:I31" si="3">SUM(F27:F30)</f>
        <v>464.38493915984162</v>
      </c>
      <c r="G31" s="51">
        <f t="shared" si="3"/>
        <v>397.11475314179592</v>
      </c>
      <c r="H31" s="51">
        <f t="shared" si="3"/>
        <v>427.47190059256945</v>
      </c>
      <c r="I31" s="52">
        <f t="shared" si="3"/>
        <v>459.38613265670176</v>
      </c>
    </row>
    <row r="32" spans="1:9" ht="15.75" thickBot="1" x14ac:dyDescent="0.3">
      <c r="A32" s="39"/>
      <c r="B32" s="40"/>
      <c r="C32" s="40"/>
      <c r="D32" s="40"/>
      <c r="E32" s="41"/>
      <c r="F32" s="40"/>
      <c r="G32" s="40"/>
      <c r="H32" s="40"/>
      <c r="I32" s="42"/>
    </row>
    <row r="33" spans="1:9" x14ac:dyDescent="0.25">
      <c r="A33" s="43" t="s">
        <v>81</v>
      </c>
      <c r="B33" s="44" t="s">
        <v>71</v>
      </c>
      <c r="C33" s="44" t="s">
        <v>82</v>
      </c>
      <c r="D33" s="45">
        <f>[9]AR!AQ$62</f>
        <v>413.09147007999997</v>
      </c>
      <c r="E33" s="45">
        <f>[9]AR!AR$62</f>
        <v>375.89994164000001</v>
      </c>
      <c r="F33" s="45">
        <f>[9]AR!AS$62</f>
        <v>498.52929279587153</v>
      </c>
      <c r="G33" s="45">
        <f>[9]AR!AT$62</f>
        <v>416.19988552826158</v>
      </c>
      <c r="H33" s="45">
        <f>[9]AR!AU$62</f>
        <v>427.47190059256951</v>
      </c>
      <c r="I33" s="46">
        <f>[9]AR!AV$62</f>
        <v>459.38613265670176</v>
      </c>
    </row>
    <row r="34" spans="1:9" ht="15.75" thickBot="1" x14ac:dyDescent="0.3">
      <c r="A34" s="26" t="s">
        <v>83</v>
      </c>
      <c r="B34" s="27" t="s">
        <v>71</v>
      </c>
      <c r="C34" s="27"/>
      <c r="D34" s="28">
        <f>D31-D33</f>
        <v>-5.4436073855668496</v>
      </c>
      <c r="E34" s="28">
        <f t="shared" ref="E34:I34" si="4">E31-E33</f>
        <v>13.310395013578045</v>
      </c>
      <c r="F34" s="28">
        <f t="shared" si="4"/>
        <v>-34.144353636029905</v>
      </c>
      <c r="G34" s="28">
        <f t="shared" si="4"/>
        <v>-19.085132386465659</v>
      </c>
      <c r="H34" s="28">
        <f t="shared" si="4"/>
        <v>0</v>
      </c>
      <c r="I34" s="29">
        <f t="shared" si="4"/>
        <v>0</v>
      </c>
    </row>
    <row r="35" spans="1:9" ht="15.75" thickBot="1" x14ac:dyDescent="0.3">
      <c r="A35" s="39"/>
      <c r="B35" s="40"/>
      <c r="C35" s="40"/>
      <c r="D35" s="40"/>
      <c r="E35" s="40"/>
      <c r="F35" s="40"/>
      <c r="G35" s="40"/>
      <c r="H35" s="40"/>
      <c r="I35" s="42"/>
    </row>
    <row r="36" spans="1:9" x14ac:dyDescent="0.25">
      <c r="A36" s="35" t="s">
        <v>84</v>
      </c>
      <c r="B36" s="36" t="s">
        <v>13</v>
      </c>
      <c r="C36" s="36" t="s">
        <v>85</v>
      </c>
      <c r="D36" s="37">
        <f>[9]AR!AQ$65</f>
        <v>2.4934999999999999E-2</v>
      </c>
      <c r="E36" s="37">
        <f>[9]AR!AR$65</f>
        <v>3.97335776E-2</v>
      </c>
      <c r="F36" s="37">
        <f>[9]AR!AS$65</f>
        <v>4.1370183200000001E-2</v>
      </c>
      <c r="G36" s="37">
        <f>[9]AR!AT$65</f>
        <v>4.1450170800000005E-2</v>
      </c>
      <c r="H36" s="37">
        <f>[9]AR!AU$65</f>
        <v>4.15681044E-2</v>
      </c>
      <c r="I36" s="38">
        <f>[9]AR!AV$65</f>
        <v>4.1755693600000005E-2</v>
      </c>
    </row>
    <row r="37" spans="1:9" x14ac:dyDescent="0.25">
      <c r="A37" s="16" t="s">
        <v>86</v>
      </c>
      <c r="B37" s="2" t="s">
        <v>87</v>
      </c>
      <c r="C37" s="2" t="s">
        <v>88</v>
      </c>
      <c r="D37" s="10">
        <f>[9]AR!AQ66</f>
        <v>7.2604286672181217E-2</v>
      </c>
      <c r="E37" s="10">
        <f>[9]AR!AR66</f>
        <v>2.9082024338522139E-2</v>
      </c>
      <c r="F37" s="10">
        <f>[9]AR!AS66</f>
        <v>1.705309151982326E-2</v>
      </c>
      <c r="G37" s="10">
        <f>[9]AR!AT66</f>
        <v>1.5421581354723601E-2</v>
      </c>
      <c r="H37" s="10">
        <f>[9]AR!AU66</f>
        <v>1.7961851291584452E-2</v>
      </c>
      <c r="I37" s="25"/>
    </row>
    <row r="38" spans="1:9" x14ac:dyDescent="0.25">
      <c r="A38" s="16" t="s">
        <v>89</v>
      </c>
      <c r="B38" s="2" t="s">
        <v>90</v>
      </c>
      <c r="C38" s="2" t="s">
        <v>91</v>
      </c>
      <c r="D38" s="10">
        <f>(1+D36)*(1+D37)-1</f>
        <v>9.934967456035193E-2</v>
      </c>
      <c r="E38" s="10">
        <f t="shared" ref="E38:H38" si="5">(1+E36)*(1+E37)-1</f>
        <v>6.9971134809341917E-2</v>
      </c>
      <c r="F38" s="10">
        <f t="shared" si="5"/>
        <v>5.9128764240124587E-2</v>
      </c>
      <c r="G38" s="10">
        <f t="shared" si="5"/>
        <v>5.7510979335883006E-2</v>
      </c>
      <c r="H38" s="10">
        <f t="shared" si="5"/>
        <v>6.02765958012903E-2</v>
      </c>
      <c r="I38" s="25"/>
    </row>
    <row r="39" spans="1:9" ht="15.75" thickBot="1" x14ac:dyDescent="0.3">
      <c r="A39" s="26" t="s">
        <v>92</v>
      </c>
      <c r="B39" s="27" t="s">
        <v>71</v>
      </c>
      <c r="C39" s="27" t="s">
        <v>74</v>
      </c>
      <c r="D39" s="28"/>
      <c r="E39" s="28">
        <f>D34*(1+D38)</f>
        <v>-5.984428007757244</v>
      </c>
      <c r="F39" s="28">
        <f t="shared" ref="F39:I39" si="6">E34*(1+E38)</f>
        <v>14.241738457438707</v>
      </c>
      <c r="G39" s="28">
        <f t="shared" si="6"/>
        <v>-36.163267072306155</v>
      </c>
      <c r="H39" s="28">
        <f t="shared" si="6"/>
        <v>-20.182737040766277</v>
      </c>
      <c r="I39" s="29">
        <f t="shared" si="6"/>
        <v>0</v>
      </c>
    </row>
    <row r="40" spans="1:9" ht="15.75" thickBot="1" x14ac:dyDescent="0.3"/>
    <row r="41" spans="1:9" x14ac:dyDescent="0.25">
      <c r="A41" s="99" t="s">
        <v>149</v>
      </c>
      <c r="B41" s="100"/>
      <c r="C41" s="100"/>
      <c r="D41" s="100"/>
      <c r="E41" s="143">
        <f>'[8]General inputs'!$H$83/1000000</f>
        <v>5.9416288313883951</v>
      </c>
      <c r="F41" s="143">
        <f>'[5]General inputs'!$H$83/1000000</f>
        <v>8.7681374602312498</v>
      </c>
      <c r="G41" s="143">
        <f>Table1!G45</f>
        <v>9.6825779351597383</v>
      </c>
      <c r="H41" s="143">
        <f t="shared" ref="H41:I41" si="7">G41*H33/G33</f>
        <v>9.9448129048016138</v>
      </c>
      <c r="I41" s="213">
        <f t="shared" si="7"/>
        <v>10.687273558796077</v>
      </c>
    </row>
    <row r="42" spans="1:9" ht="15.75" thickBot="1" x14ac:dyDescent="0.3">
      <c r="A42" s="101" t="s">
        <v>150</v>
      </c>
      <c r="B42" s="102"/>
      <c r="C42" s="102"/>
      <c r="D42" s="102"/>
      <c r="E42" s="103">
        <f>E31-E41</f>
        <v>383.26870782218964</v>
      </c>
      <c r="F42" s="103">
        <f t="shared" ref="F42:I42" si="8">F31-F41</f>
        <v>455.61680169961039</v>
      </c>
      <c r="G42" s="103">
        <f t="shared" si="8"/>
        <v>387.4321752066362</v>
      </c>
      <c r="H42" s="103">
        <f t="shared" si="8"/>
        <v>417.52708768776785</v>
      </c>
      <c r="I42" s="104">
        <f t="shared" si="8"/>
        <v>448.69885909790571</v>
      </c>
    </row>
    <row r="44" spans="1:9" x14ac:dyDescent="0.25">
      <c r="A44" t="s">
        <v>132</v>
      </c>
      <c r="E44" s="98">
        <f>E31-[9]AR!AR$53</f>
        <v>0</v>
      </c>
      <c r="F44" s="98">
        <f>F31-[9]AR!AS$53</f>
        <v>0</v>
      </c>
      <c r="G44" s="98">
        <f>G31-[9]AR!AT$53</f>
        <v>0</v>
      </c>
      <c r="H44" s="98">
        <f>H31-[9]AR!AU$53</f>
        <v>0</v>
      </c>
      <c r="I44" s="98">
        <f>I31-[9]AR!AV$53</f>
        <v>0</v>
      </c>
    </row>
    <row r="46" spans="1:9" x14ac:dyDescent="0.25">
      <c r="A46" s="141" t="s">
        <v>194</v>
      </c>
      <c r="B46" s="141"/>
      <c r="C46" s="141"/>
      <c r="D46" s="141"/>
      <c r="E46" s="142">
        <f>'[8]General inputs'!$H$88/1000000</f>
        <v>384.55623688758169</v>
      </c>
      <c r="F46" s="144">
        <f>'[5]General inputs'!$H$88/1000000</f>
        <v>493.59689704489801</v>
      </c>
      <c r="G46" s="144">
        <f>Table1!G51</f>
        <v>406.5063906595941</v>
      </c>
      <c r="H46" s="141"/>
      <c r="I46" s="14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zoomScale="75" zoomScaleNormal="75" workbookViewId="0">
      <selection activeCell="C71" sqref="C71"/>
    </sheetView>
  </sheetViews>
  <sheetFormatPr defaultRowHeight="15" x14ac:dyDescent="0.25"/>
  <cols>
    <col min="1" max="1" width="86.7109375" bestFit="1" customWidth="1"/>
    <col min="2" max="2" width="19.85546875" bestFit="1" customWidth="1"/>
    <col min="3" max="3" width="19.7109375" bestFit="1" customWidth="1"/>
    <col min="4" max="5" width="11.42578125" bestFit="1" customWidth="1"/>
    <col min="6" max="7" width="11.7109375" bestFit="1" customWidth="1"/>
    <col min="8" max="8" width="11.42578125" customWidth="1"/>
    <col min="9" max="9" width="11.7109375" bestFit="1" customWidth="1"/>
    <col min="10" max="11" width="11.42578125" bestFit="1" customWidth="1"/>
    <col min="12" max="13" width="11.7109375" bestFit="1" customWidth="1"/>
    <col min="14" max="14" width="11.42578125" customWidth="1"/>
    <col min="15" max="15" width="11.7109375" bestFit="1" customWidth="1"/>
    <col min="16" max="16" width="67" customWidth="1"/>
  </cols>
  <sheetData>
    <row r="1" spans="1:16" ht="15.75" thickBot="1" x14ac:dyDescent="0.3">
      <c r="A1" s="11" t="s">
        <v>324</v>
      </c>
      <c r="B1" s="12">
        <v>45413</v>
      </c>
      <c r="C1" s="13"/>
      <c r="D1" s="13"/>
      <c r="E1" s="13"/>
      <c r="F1" s="13"/>
      <c r="G1" s="13"/>
      <c r="H1" s="13"/>
      <c r="I1" s="14"/>
      <c r="J1" s="122" t="s">
        <v>152</v>
      </c>
      <c r="K1" s="122"/>
      <c r="L1" s="122"/>
      <c r="M1" s="122"/>
      <c r="N1" s="122"/>
      <c r="O1" s="122"/>
      <c r="P1" s="123" t="s">
        <v>151</v>
      </c>
    </row>
    <row r="2" spans="1:16" x14ac:dyDescent="0.25">
      <c r="A2" s="70" t="s">
        <v>95</v>
      </c>
      <c r="B2" s="71"/>
      <c r="C2" s="71"/>
      <c r="D2" s="71" t="s">
        <v>0</v>
      </c>
      <c r="E2" s="71" t="s">
        <v>1</v>
      </c>
      <c r="F2" s="71" t="s">
        <v>2</v>
      </c>
      <c r="G2" s="71" t="s">
        <v>3</v>
      </c>
      <c r="H2" s="71" t="s">
        <v>4</v>
      </c>
      <c r="I2" s="72" t="s">
        <v>70</v>
      </c>
      <c r="J2" s="70" t="s">
        <v>0</v>
      </c>
      <c r="K2" s="71" t="s">
        <v>1</v>
      </c>
      <c r="L2" s="71" t="s">
        <v>2</v>
      </c>
      <c r="M2" s="71" t="s">
        <v>3</v>
      </c>
      <c r="N2" s="71" t="s">
        <v>4</v>
      </c>
      <c r="O2" s="72" t="s">
        <v>70</v>
      </c>
      <c r="P2" s="105"/>
    </row>
    <row r="3" spans="1:16" x14ac:dyDescent="0.25">
      <c r="A3" s="75" t="s">
        <v>96</v>
      </c>
      <c r="B3" s="76" t="s">
        <v>6</v>
      </c>
      <c r="C3" s="76"/>
      <c r="D3" s="76"/>
      <c r="E3" s="79">
        <f>[10]Totex!AR12</f>
        <v>30.04817406952834</v>
      </c>
      <c r="F3" s="79">
        <f>[10]Totex!AS12</f>
        <v>26.973313973139696</v>
      </c>
      <c r="G3" s="79">
        <f>[10]Totex!AT12</f>
        <v>28.779185000128518</v>
      </c>
      <c r="H3" s="79">
        <f>[10]Totex!AU12</f>
        <v>21.648717102171958</v>
      </c>
      <c r="I3" s="80">
        <f>[10]Totex!AV12</f>
        <v>19.453482791929058</v>
      </c>
      <c r="J3" s="75"/>
      <c r="K3" s="79">
        <f>'Table 1 ED2 Detailed'!E3-E3</f>
        <v>-7.9004117683467712E-5</v>
      </c>
      <c r="L3" s="79">
        <f>'Table 1 ED2 Detailed'!F3-F3</f>
        <v>-2.285867825690957E-6</v>
      </c>
      <c r="M3" s="79">
        <f>'Table 1 ED2 Detailed'!G3-G3</f>
        <v>-2.6392812891629092E-5</v>
      </c>
      <c r="N3" s="79">
        <f>'Table 1 ED2 Detailed'!H3-H3</f>
        <v>-4.7917302332223244E-5</v>
      </c>
      <c r="O3" s="80">
        <f>'Table 1 ED2 Detailed'!I3-I3</f>
        <v>-6.8974458798720661E-5</v>
      </c>
      <c r="P3" s="105"/>
    </row>
    <row r="4" spans="1:16" x14ac:dyDescent="0.25">
      <c r="A4" s="75" t="s">
        <v>97</v>
      </c>
      <c r="B4" s="76" t="s">
        <v>6</v>
      </c>
      <c r="C4" s="76"/>
      <c r="D4" s="76"/>
      <c r="E4" s="79">
        <f>[10]Totex!AR13</f>
        <v>85.216458082848874</v>
      </c>
      <c r="F4" s="79">
        <f>[10]Totex!AS13</f>
        <v>85.140735047476113</v>
      </c>
      <c r="G4" s="79">
        <f>[10]Totex!AT13</f>
        <v>90.032173320909919</v>
      </c>
      <c r="H4" s="79">
        <f>[10]Totex!AU13</f>
        <v>92.002401299848046</v>
      </c>
      <c r="I4" s="80">
        <f>[10]Totex!AV13</f>
        <v>87.066123446857716</v>
      </c>
      <c r="J4" s="75"/>
      <c r="K4" s="79">
        <f>'Table 1 ED2 Detailed'!E4-E4</f>
        <v>-2.7358705244751036E-4</v>
      </c>
      <c r="L4" s="79">
        <f>'Table 1 ED2 Detailed'!F4-F4</f>
        <v>-7.9158385517530405E-6</v>
      </c>
      <c r="M4" s="79">
        <f>'Table 1 ED2 Detailed'!G4-G4</f>
        <v>-9.1396905588680966E-5</v>
      </c>
      <c r="N4" s="79">
        <f>'Table 1 ED2 Detailed'!H4-H4</f>
        <v>-1.6593506630613319E-4</v>
      </c>
      <c r="O4" s="80">
        <f>'Table 1 ED2 Detailed'!I4-I4</f>
        <v>-2.3885487780717085E-4</v>
      </c>
      <c r="P4" s="105"/>
    </row>
    <row r="5" spans="1:16" x14ac:dyDescent="0.25">
      <c r="A5" s="75" t="s">
        <v>98</v>
      </c>
      <c r="B5" s="76" t="s">
        <v>6</v>
      </c>
      <c r="C5" s="76"/>
      <c r="D5" s="76"/>
      <c r="E5" s="79">
        <f>[10]Totex!AR14</f>
        <v>27.793436371267376</v>
      </c>
      <c r="F5" s="79">
        <f>[10]Totex!AS14</f>
        <v>33.484487569919281</v>
      </c>
      <c r="G5" s="79">
        <f>[10]Totex!AT14</f>
        <v>38.318512146609116</v>
      </c>
      <c r="H5" s="79">
        <f>[10]Totex!AU14</f>
        <v>24.164787280425038</v>
      </c>
      <c r="I5" s="80">
        <f>[10]Totex!AV14</f>
        <v>21.30515765671927</v>
      </c>
      <c r="J5" s="75"/>
      <c r="K5" s="79">
        <f>'Table 1 ED2 Detailed'!E5-E5</f>
        <v>-0.66479520206441833</v>
      </c>
      <c r="L5" s="79">
        <f>'Table 1 ED2 Detailed'!F5-F5</f>
        <v>2.4625420131485498E-5</v>
      </c>
      <c r="M5" s="79">
        <f>'Table 1 ED2 Detailed'!G5-G5</f>
        <v>2.8432707200920504E-4</v>
      </c>
      <c r="N5" s="79">
        <f>'Table 1 ED2 Detailed'!H5-H5</f>
        <v>5.1620819375131077E-4</v>
      </c>
      <c r="O5" s="80">
        <f>'Table 1 ED2 Detailed'!I5-I5</f>
        <v>7.4305478515412915E-4</v>
      </c>
      <c r="P5" s="105"/>
    </row>
    <row r="6" spans="1:16" x14ac:dyDescent="0.25">
      <c r="A6" s="75" t="s">
        <v>99</v>
      </c>
      <c r="B6" s="76" t="s">
        <v>6</v>
      </c>
      <c r="C6" s="76"/>
      <c r="D6" s="76"/>
      <c r="E6" s="79">
        <f>[10]Totex!AR15</f>
        <v>22.921678435291092</v>
      </c>
      <c r="F6" s="79">
        <f>[10]Totex!AS15</f>
        <v>22.810727037013233</v>
      </c>
      <c r="G6" s="79">
        <f>[10]Totex!AT15</f>
        <v>22.449316028531037</v>
      </c>
      <c r="H6" s="79">
        <f>[10]Totex!AU15</f>
        <v>22.544488682174528</v>
      </c>
      <c r="I6" s="80">
        <f>[10]Totex!AV15</f>
        <v>22.095423808250864</v>
      </c>
      <c r="J6" s="75"/>
      <c r="K6" s="79">
        <f>'Table 1 ED2 Detailed'!E6-E6</f>
        <v>-7.0237760915858871E-5</v>
      </c>
      <c r="L6" s="79">
        <f>'Table 1 ED2 Detailed'!F6-F6</f>
        <v>-2.0322261988781065E-6</v>
      </c>
      <c r="M6" s="79">
        <f>'Table 1 ED2 Detailed'!G6-G6</f>
        <v>-2.346424637167388E-5</v>
      </c>
      <c r="N6" s="79">
        <f>'Table 1 ED2 Detailed'!H6-H6</f>
        <v>-4.2600362156974825E-5</v>
      </c>
      <c r="O6" s="80">
        <f>'Table 1 ED2 Detailed'!I6-I6</f>
        <v>-6.1321000579539486E-5</v>
      </c>
      <c r="P6" s="105"/>
    </row>
    <row r="7" spans="1:16" x14ac:dyDescent="0.25">
      <c r="A7" s="75" t="s">
        <v>100</v>
      </c>
      <c r="B7" s="76" t="s">
        <v>6</v>
      </c>
      <c r="C7" s="76"/>
      <c r="D7" s="76"/>
      <c r="E7" s="79">
        <f>[10]Totex!AR16</f>
        <v>13.945631195861715</v>
      </c>
      <c r="F7" s="79">
        <f>[10]Totex!AS16</f>
        <v>13.882587652615342</v>
      </c>
      <c r="G7" s="79">
        <f>[10]Totex!AT16</f>
        <v>13.605338044724329</v>
      </c>
      <c r="H7" s="79">
        <f>[10]Totex!AU16</f>
        <v>13.553867555841151</v>
      </c>
      <c r="I7" s="80">
        <f>[10]Totex!AV16</f>
        <v>13.529823591312171</v>
      </c>
      <c r="J7" s="75"/>
      <c r="K7" s="79">
        <f>'Table 1 ED2 Detailed'!E7-E7</f>
        <v>-4.2655809140867973E-5</v>
      </c>
      <c r="L7" s="79">
        <f>'Table 1 ED2 Detailed'!F7-F7</f>
        <v>-1.2341830331052961E-6</v>
      </c>
      <c r="M7" s="79">
        <f>'Table 1 ED2 Detailed'!G7-G7</f>
        <v>-1.4249976107549855E-5</v>
      </c>
      <c r="N7" s="79">
        <f>'Table 1 ED2 Detailed'!H7-H7</f>
        <v>-2.5871452816517149E-5</v>
      </c>
      <c r="O7" s="80">
        <f>'Table 1 ED2 Detailed'!I7-I7</f>
        <v>-3.7240607658972635E-5</v>
      </c>
      <c r="P7" s="105"/>
    </row>
    <row r="8" spans="1:16" x14ac:dyDescent="0.25">
      <c r="A8" s="75" t="s">
        <v>101</v>
      </c>
      <c r="B8" s="76" t="s">
        <v>6</v>
      </c>
      <c r="C8" s="76"/>
      <c r="D8" s="76"/>
      <c r="E8" s="79">
        <f>[10]Totex!AR17</f>
        <v>15.722563847607672</v>
      </c>
      <c r="F8" s="79">
        <f>[10]Totex!AS17</f>
        <v>15.464025870332708</v>
      </c>
      <c r="G8" s="79">
        <f>[10]Totex!AT17</f>
        <v>15.331943821616758</v>
      </c>
      <c r="H8" s="79">
        <f>[10]Totex!AU17</f>
        <v>15.074016067676164</v>
      </c>
      <c r="I8" s="80">
        <f>[10]Totex!AV17</f>
        <v>14.753220802467549</v>
      </c>
      <c r="J8" s="75"/>
      <c r="K8" s="79">
        <f>'Table 1 ED2 Detailed'!E8-E8</f>
        <v>-4.7529501031817745E-5</v>
      </c>
      <c r="L8" s="79">
        <f>'Table 1 ED2 Detailed'!F8-F8</f>
        <v>-1.3751961329688811E-6</v>
      </c>
      <c r="M8" s="79">
        <f>'Table 1 ED2 Detailed'!G8-G8</f>
        <v>-1.5878124637325186E-5</v>
      </c>
      <c r="N8" s="79">
        <f>'Table 1 ED2 Detailed'!H8-H8</f>
        <v>-2.8827427447808418E-5</v>
      </c>
      <c r="O8" s="80">
        <f>'Table 1 ED2 Detailed'!I8-I8</f>
        <v>-4.1495579049311004E-5</v>
      </c>
      <c r="P8" s="105"/>
    </row>
    <row r="9" spans="1:16" x14ac:dyDescent="0.25">
      <c r="A9" s="75" t="s">
        <v>102</v>
      </c>
      <c r="B9" s="76" t="s">
        <v>6</v>
      </c>
      <c r="C9" s="76"/>
      <c r="D9" s="76"/>
      <c r="E9" s="79">
        <f>[10]Totex!AR18</f>
        <v>78.657538973555489</v>
      </c>
      <c r="F9" s="79">
        <f>[10]Totex!AS18</f>
        <v>76.428509268996109</v>
      </c>
      <c r="G9" s="79">
        <f>[10]Totex!AT18</f>
        <v>73.351013503919802</v>
      </c>
      <c r="H9" s="79">
        <f>[10]Totex!AU18</f>
        <v>72.066119498597629</v>
      </c>
      <c r="I9" s="80">
        <f>[10]Totex!AV18</f>
        <v>72.407219153836266</v>
      </c>
      <c r="J9" s="75"/>
      <c r="K9" s="79">
        <f>'Table 1 ED2 Detailed'!E9-E9</f>
        <v>-1.672186775714124E-2</v>
      </c>
      <c r="L9" s="79">
        <f>'Table 1 ED2 Detailed'!F9-F9</f>
        <v>-9.7821083784310758E-6</v>
      </c>
      <c r="M9" s="79">
        <f>'Table 1 ED2 Detailed'!G9-G9</f>
        <v>-1.1294500640701699E-4</v>
      </c>
      <c r="N9" s="79">
        <f>'Table 1 ED2 Detailed'!H9-H9</f>
        <v>-2.0505658268632487E-4</v>
      </c>
      <c r="O9" s="80">
        <f>'Table 1 ED2 Detailed'!I9-I9</f>
        <v>-2.9516826126041451E-4</v>
      </c>
      <c r="P9" s="105"/>
    </row>
    <row r="10" spans="1:16" x14ac:dyDescent="0.25">
      <c r="A10" s="64" t="s">
        <v>103</v>
      </c>
      <c r="B10" s="65" t="s">
        <v>6</v>
      </c>
      <c r="C10" s="65"/>
      <c r="D10" s="65"/>
      <c r="E10" s="84">
        <f>SUM(E3:E9)</f>
        <v>274.30548097596056</v>
      </c>
      <c r="F10" s="84">
        <f t="shared" ref="F10:I10" si="0">SUM(F3:F9)</f>
        <v>274.18438641949251</v>
      </c>
      <c r="G10" s="84">
        <f t="shared" si="0"/>
        <v>281.86748186643945</v>
      </c>
      <c r="H10" s="84">
        <f t="shared" si="0"/>
        <v>261.0543974867345</v>
      </c>
      <c r="I10" s="85">
        <f t="shared" si="0"/>
        <v>250.61045125137292</v>
      </c>
      <c r="J10" s="64"/>
      <c r="K10" s="84">
        <f>'Table 1 ED2 Detailed'!E10-E10</f>
        <v>-0.68203008406277377</v>
      </c>
      <c r="L10" s="84">
        <f>'Table 1 ED2 Detailed'!F10-F10</f>
        <v>0</v>
      </c>
      <c r="M10" s="84">
        <f>'Table 1 ED2 Detailed'!G10-G10</f>
        <v>0</v>
      </c>
      <c r="N10" s="84">
        <f>'Table 1 ED2 Detailed'!H10-H10</f>
        <v>0</v>
      </c>
      <c r="O10" s="85">
        <f>'Table 1 ED2 Detailed'!I10-I10</f>
        <v>0</v>
      </c>
      <c r="P10" s="105"/>
    </row>
    <row r="11" spans="1:16" x14ac:dyDescent="0.25">
      <c r="A11" s="97" t="s">
        <v>105</v>
      </c>
      <c r="B11" s="81" t="s">
        <v>6</v>
      </c>
      <c r="C11" s="81" t="s">
        <v>118</v>
      </c>
      <c r="D11" s="77"/>
      <c r="E11" s="82">
        <f>[10]InputSummary!AR61</f>
        <v>30.404256896771294</v>
      </c>
      <c r="F11" s="82">
        <f>[10]InputSummary!AS61</f>
        <v>27.628929394168772</v>
      </c>
      <c r="G11" s="82">
        <f>[10]InputSummary!AT61</f>
        <v>28.823278830773361</v>
      </c>
      <c r="H11" s="82">
        <f>[10]InputSummary!AU61</f>
        <v>16.378231280279138</v>
      </c>
      <c r="I11" s="83">
        <f>[10]InputSummary!AV61</f>
        <v>10.820511779607095</v>
      </c>
      <c r="J11" s="106"/>
      <c r="K11" s="82">
        <f>'Table 1 ED2 Detailed'!E11-E11</f>
        <v>-12.420171727510592</v>
      </c>
      <c r="L11" s="82">
        <f>'Table 1 ED2 Detailed'!F11-F11</f>
        <v>0</v>
      </c>
      <c r="M11" s="82">
        <f>'Table 1 ED2 Detailed'!G11-G11</f>
        <v>0</v>
      </c>
      <c r="N11" s="82">
        <f>'Table 1 ED2 Detailed'!H11-H11</f>
        <v>0</v>
      </c>
      <c r="O11" s="83">
        <f>'Table 1 ED2 Detailed'!I11-I11</f>
        <v>0</v>
      </c>
      <c r="P11" s="105"/>
    </row>
    <row r="12" spans="1:16" x14ac:dyDescent="0.25">
      <c r="A12" s="97" t="s">
        <v>106</v>
      </c>
      <c r="B12" s="81" t="s">
        <v>6</v>
      </c>
      <c r="C12" s="81" t="s">
        <v>119</v>
      </c>
      <c r="D12" s="77"/>
      <c r="E12" s="82">
        <f>[10]InputSummary!AR62</f>
        <v>89.135083905494781</v>
      </c>
      <c r="F12" s="82">
        <f>[10]InputSummary!AS62</f>
        <v>79.014547932023916</v>
      </c>
      <c r="G12" s="82">
        <f>[10]InputSummary!AT62</f>
        <v>88.341094831603527</v>
      </c>
      <c r="H12" s="82">
        <f>[10]InputSummary!AU62</f>
        <v>86.161028238616964</v>
      </c>
      <c r="I12" s="83">
        <f>[10]InputSummary!AV62</f>
        <v>79.839851400448651</v>
      </c>
      <c r="J12" s="106"/>
      <c r="K12" s="82">
        <f>'Table 1 ED2 Detailed'!E12-E12</f>
        <v>-18.391804766273609</v>
      </c>
      <c r="L12" s="82">
        <f>'Table 1 ED2 Detailed'!F12-F12</f>
        <v>0</v>
      </c>
      <c r="M12" s="82">
        <f>'Table 1 ED2 Detailed'!G12-G12</f>
        <v>0</v>
      </c>
      <c r="N12" s="82">
        <f>'Table 1 ED2 Detailed'!H12-H12</f>
        <v>0</v>
      </c>
      <c r="O12" s="83">
        <f>'Table 1 ED2 Detailed'!I12-I12</f>
        <v>0</v>
      </c>
      <c r="P12" s="105"/>
    </row>
    <row r="13" spans="1:16" x14ac:dyDescent="0.25">
      <c r="A13" s="97" t="s">
        <v>107</v>
      </c>
      <c r="B13" s="81" t="s">
        <v>6</v>
      </c>
      <c r="C13" s="81" t="s">
        <v>120</v>
      </c>
      <c r="D13" s="77"/>
      <c r="E13" s="82">
        <f>[10]InputSummary!AR63</f>
        <v>26.308828907390097</v>
      </c>
      <c r="F13" s="82">
        <f>[10]InputSummary!AS63</f>
        <v>38.737321746285808</v>
      </c>
      <c r="G13" s="82">
        <f>[10]InputSummary!AT63</f>
        <v>38.31127063501269</v>
      </c>
      <c r="H13" s="82">
        <f>[10]InputSummary!AU63</f>
        <v>19.777346342490471</v>
      </c>
      <c r="I13" s="83">
        <f>[10]InputSummary!AV63</f>
        <v>16.810982422494654</v>
      </c>
      <c r="J13" s="106"/>
      <c r="K13" s="82">
        <f>'Table 1 ED2 Detailed'!E13-E13</f>
        <v>-10.551624368223841</v>
      </c>
      <c r="L13" s="82">
        <f>'Table 1 ED2 Detailed'!F13-F13</f>
        <v>0</v>
      </c>
      <c r="M13" s="82">
        <f>'Table 1 ED2 Detailed'!G13-G13</f>
        <v>0</v>
      </c>
      <c r="N13" s="82">
        <f>'Table 1 ED2 Detailed'!H13-H13</f>
        <v>0</v>
      </c>
      <c r="O13" s="83">
        <f>'Table 1 ED2 Detailed'!I13-I13</f>
        <v>0</v>
      </c>
      <c r="P13" s="105"/>
    </row>
    <row r="14" spans="1:16" x14ac:dyDescent="0.25">
      <c r="A14" s="97" t="s">
        <v>108</v>
      </c>
      <c r="B14" s="81" t="s">
        <v>6</v>
      </c>
      <c r="C14" s="81" t="s">
        <v>121</v>
      </c>
      <c r="D14" s="77"/>
      <c r="E14" s="82">
        <f>[10]InputSummary!AR64</f>
        <v>26.533047273042822</v>
      </c>
      <c r="F14" s="82">
        <f>[10]InputSummary!AS64</f>
        <v>24.478819439376512</v>
      </c>
      <c r="G14" s="82">
        <f>[10]InputSummary!AT64</f>
        <v>24.214687230533624</v>
      </c>
      <c r="H14" s="82">
        <f>[10]InputSummary!AU64</f>
        <v>24.158302834102201</v>
      </c>
      <c r="I14" s="83">
        <f>[10]InputSummary!AV64</f>
        <v>24.029584701360296</v>
      </c>
      <c r="J14" s="106"/>
      <c r="K14" s="82">
        <f>'Table 1 ED2 Detailed'!E14-E14</f>
        <v>2.870891447669262</v>
      </c>
      <c r="L14" s="82">
        <f>'Table 1 ED2 Detailed'!F14-F14</f>
        <v>0</v>
      </c>
      <c r="M14" s="82">
        <f>'Table 1 ED2 Detailed'!G14-G14</f>
        <v>0</v>
      </c>
      <c r="N14" s="82">
        <f>'Table 1 ED2 Detailed'!H14-H14</f>
        <v>0</v>
      </c>
      <c r="O14" s="83">
        <f>'Table 1 ED2 Detailed'!I14-I14</f>
        <v>0</v>
      </c>
      <c r="P14" s="105"/>
    </row>
    <row r="15" spans="1:16" x14ac:dyDescent="0.25">
      <c r="A15" s="97" t="s">
        <v>109</v>
      </c>
      <c r="B15" s="81" t="s">
        <v>6</v>
      </c>
      <c r="C15" s="81" t="s">
        <v>122</v>
      </c>
      <c r="D15" s="77"/>
      <c r="E15" s="82">
        <f>[10]InputSummary!AR65</f>
        <v>13.806173663752173</v>
      </c>
      <c r="F15" s="82">
        <f>[10]InputSummary!AS65</f>
        <v>13.162295874411299</v>
      </c>
      <c r="G15" s="82">
        <f>[10]InputSummary!AT65</f>
        <v>12.770974975266236</v>
      </c>
      <c r="H15" s="82">
        <f>[10]InputSummary!AU65</f>
        <v>12.61789495070976</v>
      </c>
      <c r="I15" s="83">
        <f>[10]InputSummary!AV65</f>
        <v>12.481868371421465</v>
      </c>
      <c r="J15" s="106"/>
      <c r="K15" s="82">
        <f>'Table 1 ED2 Detailed'!E15-E15</f>
        <v>-1.7486735720771556</v>
      </c>
      <c r="L15" s="82">
        <f>'Table 1 ED2 Detailed'!F15-F15</f>
        <v>0</v>
      </c>
      <c r="M15" s="82">
        <f>'Table 1 ED2 Detailed'!G15-G15</f>
        <v>0</v>
      </c>
      <c r="N15" s="82">
        <f>'Table 1 ED2 Detailed'!H15-H15</f>
        <v>0</v>
      </c>
      <c r="O15" s="83">
        <f>'Table 1 ED2 Detailed'!I15-I15</f>
        <v>0</v>
      </c>
      <c r="P15" s="105"/>
    </row>
    <row r="16" spans="1:16" x14ac:dyDescent="0.25">
      <c r="A16" s="97" t="s">
        <v>110</v>
      </c>
      <c r="B16" s="81" t="s">
        <v>6</v>
      </c>
      <c r="C16" s="81" t="s">
        <v>123</v>
      </c>
      <c r="D16" s="77"/>
      <c r="E16" s="82">
        <f>[10]InputSummary!AR66</f>
        <v>17.998208886506625</v>
      </c>
      <c r="F16" s="82">
        <f>[10]InputSummary!AS66</f>
        <v>17.607078399094931</v>
      </c>
      <c r="G16" s="82">
        <f>[10]InputSummary!AT66</f>
        <v>17.635316306739384</v>
      </c>
      <c r="H16" s="82">
        <f>[10]InputSummary!AU66</f>
        <v>16.971829953229193</v>
      </c>
      <c r="I16" s="83">
        <f>[10]InputSummary!AV66</f>
        <v>16.427818586802626</v>
      </c>
      <c r="J16" s="106"/>
      <c r="K16" s="82">
        <f>'Table 1 ED2 Detailed'!E16-E16</f>
        <v>0.90221806612786537</v>
      </c>
      <c r="L16" s="82">
        <f>'Table 1 ED2 Detailed'!F16-F16</f>
        <v>0</v>
      </c>
      <c r="M16" s="82">
        <f>'Table 1 ED2 Detailed'!G16-G16</f>
        <v>0</v>
      </c>
      <c r="N16" s="82">
        <f>'Table 1 ED2 Detailed'!H16-H16</f>
        <v>0</v>
      </c>
      <c r="O16" s="83">
        <f>'Table 1 ED2 Detailed'!I16-I16</f>
        <v>0</v>
      </c>
      <c r="P16" s="105"/>
    </row>
    <row r="17" spans="1:16" x14ac:dyDescent="0.25">
      <c r="A17" s="97" t="s">
        <v>111</v>
      </c>
      <c r="B17" s="81" t="s">
        <v>6</v>
      </c>
      <c r="C17" s="81" t="s">
        <v>124</v>
      </c>
      <c r="D17" s="77"/>
      <c r="E17" s="82">
        <f>[10]InputSummary!AR67</f>
        <v>89.005085796998088</v>
      </c>
      <c r="F17" s="82">
        <f>[10]InputSummary!AS67</f>
        <v>88.239202647607684</v>
      </c>
      <c r="G17" s="82">
        <f>[10]InputSummary!AT67</f>
        <v>87.875472730886443</v>
      </c>
      <c r="H17" s="82">
        <f>[10]InputSummary!AU67</f>
        <v>88.104527032754419</v>
      </c>
      <c r="I17" s="83">
        <f>[10]InputSummary!AV67</f>
        <v>87.978104594837134</v>
      </c>
      <c r="J17" s="106"/>
      <c r="K17" s="82">
        <f>'Table 1 ED2 Detailed'!E17-E17</f>
        <v>-4.2063571471496886</v>
      </c>
      <c r="L17" s="82">
        <f>'Table 1 ED2 Detailed'!F17-F17</f>
        <v>0</v>
      </c>
      <c r="M17" s="82">
        <f>'Table 1 ED2 Detailed'!G17-G17</f>
        <v>0</v>
      </c>
      <c r="N17" s="82">
        <f>'Table 1 ED2 Detailed'!H17-H17</f>
        <v>0</v>
      </c>
      <c r="O17" s="83">
        <f>'Table 1 ED2 Detailed'!I17-I17</f>
        <v>0</v>
      </c>
      <c r="P17" s="105"/>
    </row>
    <row r="18" spans="1:16" x14ac:dyDescent="0.25">
      <c r="A18" s="66" t="s">
        <v>112</v>
      </c>
      <c r="B18" s="67" t="s">
        <v>6</v>
      </c>
      <c r="C18" s="67"/>
      <c r="D18" s="67"/>
      <c r="E18" s="86">
        <f>SUM(E11:E17)</f>
        <v>293.1906853299559</v>
      </c>
      <c r="F18" s="86">
        <f t="shared" ref="F18:I18" si="1">SUM(F11:F17)</f>
        <v>288.86819543296889</v>
      </c>
      <c r="G18" s="86">
        <f t="shared" si="1"/>
        <v>297.97209554081525</v>
      </c>
      <c r="H18" s="86">
        <f t="shared" si="1"/>
        <v>264.16916063218218</v>
      </c>
      <c r="I18" s="87">
        <f t="shared" si="1"/>
        <v>248.38872185697193</v>
      </c>
      <c r="J18" s="66"/>
      <c r="K18" s="86">
        <f>'Table 1 ED2 Detailed'!E18-E18</f>
        <v>-43.545522067437787</v>
      </c>
      <c r="L18" s="86">
        <f>'Table 1 ED2 Detailed'!F18-F18</f>
        <v>0</v>
      </c>
      <c r="M18" s="86">
        <f>'Table 1 ED2 Detailed'!G18-G18</f>
        <v>0</v>
      </c>
      <c r="N18" s="86">
        <f>'Table 1 ED2 Detailed'!H18-H18</f>
        <v>0</v>
      </c>
      <c r="O18" s="87">
        <f>'Table 1 ED2 Detailed'!I18-I18</f>
        <v>0</v>
      </c>
      <c r="P18" s="105"/>
    </row>
    <row r="19" spans="1:16" x14ac:dyDescent="0.25">
      <c r="A19" s="68" t="s">
        <v>115</v>
      </c>
      <c r="B19" s="69" t="s">
        <v>6</v>
      </c>
      <c r="C19" s="69"/>
      <c r="D19" s="69"/>
      <c r="E19" s="88">
        <f>IF(E18&gt;0,(E18-E10)*0.5+E10,E10)</f>
        <v>283.7480831529582</v>
      </c>
      <c r="F19" s="88">
        <f t="shared" ref="F19:I19" si="2">IF(F18&gt;0,(F18-F10)*0.5+F10,F10)</f>
        <v>281.52629092623067</v>
      </c>
      <c r="G19" s="88">
        <f t="shared" si="2"/>
        <v>289.91978870362732</v>
      </c>
      <c r="H19" s="88">
        <f t="shared" si="2"/>
        <v>262.61177905945834</v>
      </c>
      <c r="I19" s="89">
        <f t="shared" si="2"/>
        <v>249.49958655417242</v>
      </c>
      <c r="J19" s="68"/>
      <c r="K19" s="88">
        <f>'Table 1 ED2 Detailed'!E19-E19</f>
        <v>-22.113776075750252</v>
      </c>
      <c r="L19" s="88">
        <f>'Table 1 ED2 Detailed'!F19-F19</f>
        <v>0</v>
      </c>
      <c r="M19" s="88">
        <f>'Table 1 ED2 Detailed'!G19-G19</f>
        <v>0</v>
      </c>
      <c r="N19" s="88">
        <f>'Table 1 ED2 Detailed'!H19-H19</f>
        <v>0</v>
      </c>
      <c r="O19" s="89">
        <f>'Table 1 ED2 Detailed'!I19-I19</f>
        <v>0</v>
      </c>
      <c r="P19" s="105"/>
    </row>
    <row r="20" spans="1:16" x14ac:dyDescent="0.25">
      <c r="A20" s="73" t="s">
        <v>114</v>
      </c>
      <c r="B20" s="74" t="s">
        <v>6</v>
      </c>
      <c r="C20" s="74"/>
      <c r="D20" s="74"/>
      <c r="E20" s="90">
        <f>(1-[10]TIM!AR$53)*E19</f>
        <v>59.587097462121214</v>
      </c>
      <c r="F20" s="90">
        <f>(1-[10]TIM!AS$53)*F19</f>
        <v>59.120521094508433</v>
      </c>
      <c r="G20" s="90">
        <f>(1-[10]TIM!AT$53)*G19</f>
        <v>60.883155627761724</v>
      </c>
      <c r="H20" s="90">
        <f>(1-[10]TIM!AU$53)*H19</f>
        <v>55.148473602486241</v>
      </c>
      <c r="I20" s="91">
        <f>(1-[10]TIM!AV$53)*I19</f>
        <v>52.3949131763762</v>
      </c>
      <c r="J20" s="73"/>
      <c r="K20" s="90">
        <f>'Table 1 ED2 Detailed'!E20-E20</f>
        <v>-4.6438929759075549</v>
      </c>
      <c r="L20" s="90">
        <f>'Table 1 ED2 Detailed'!F20-F20</f>
        <v>0</v>
      </c>
      <c r="M20" s="90">
        <f>'Table 1 ED2 Detailed'!G20-G20</f>
        <v>0</v>
      </c>
      <c r="N20" s="90">
        <f>'Table 1 ED2 Detailed'!H20-H20</f>
        <v>0</v>
      </c>
      <c r="O20" s="91">
        <f>'Table 1 ED2 Detailed'!I20-I20</f>
        <v>0</v>
      </c>
      <c r="P20" s="105"/>
    </row>
    <row r="21" spans="1:16" x14ac:dyDescent="0.25">
      <c r="A21" s="96" t="s">
        <v>96</v>
      </c>
      <c r="B21" s="78" t="s">
        <v>6</v>
      </c>
      <c r="C21" s="78"/>
      <c r="D21" s="76"/>
      <c r="E21" s="92">
        <f>[10]Totex!AR23</f>
        <v>-1.0967134444588744</v>
      </c>
      <c r="F21" s="92">
        <f>[10]Totex!AS23</f>
        <v>13.068777453425396</v>
      </c>
      <c r="G21" s="92">
        <f>[10]Totex!AT23</f>
        <v>36.418461884354876</v>
      </c>
      <c r="H21" s="92">
        <f>[10]Totex!AU23</f>
        <v>50.108513361470024</v>
      </c>
      <c r="I21" s="93">
        <f>[10]Totex!AV23</f>
        <v>46.073601976073533</v>
      </c>
      <c r="J21" s="75"/>
      <c r="K21" s="92">
        <f>'Table 1 ED2 Detailed'!E21-E21</f>
        <v>4.0503045767603343</v>
      </c>
      <c r="L21" s="92">
        <f>'Table 1 ED2 Detailed'!F21-F21</f>
        <v>-6.4586622155360374E-5</v>
      </c>
      <c r="M21" s="92">
        <f>'Table 1 ED2 Detailed'!G21-G21</f>
        <v>-1.0117699594829332E-3</v>
      </c>
      <c r="N21" s="92">
        <f>'Table 1 ED2 Detailed'!H21-H21</f>
        <v>-2.2593537748321069E-3</v>
      </c>
      <c r="O21" s="93">
        <f>'Table 1 ED2 Detailed'!I21-I21</f>
        <v>-4.0948675555227965E-3</v>
      </c>
      <c r="P21" s="105"/>
    </row>
    <row r="22" spans="1:16" x14ac:dyDescent="0.25">
      <c r="A22" s="96" t="s">
        <v>97</v>
      </c>
      <c r="B22" s="78" t="s">
        <v>6</v>
      </c>
      <c r="C22" s="78"/>
      <c r="D22" s="76"/>
      <c r="E22" s="92">
        <f>[10]Totex!AR24</f>
        <v>1.50508191150227</v>
      </c>
      <c r="F22" s="92">
        <f>[10]Totex!AS24</f>
        <v>1.5006344850294393</v>
      </c>
      <c r="G22" s="92">
        <f>[10]Totex!AT24</f>
        <v>1.1999394096039138</v>
      </c>
      <c r="H22" s="92">
        <f>[10]Totex!AU24</f>
        <v>0.27219540360694389</v>
      </c>
      <c r="I22" s="93">
        <f>[10]Totex!AV24</f>
        <v>0.29022709463399715</v>
      </c>
      <c r="J22" s="75"/>
      <c r="K22" s="92">
        <f>'Table 1 ED2 Detailed'!E22-E22</f>
        <v>0.19040558042296207</v>
      </c>
      <c r="L22" s="92">
        <f>'Table 1 ED2 Detailed'!F22-F22</f>
        <v>6.4586622154916284E-5</v>
      </c>
      <c r="M22" s="92">
        <f>'Table 1 ED2 Detailed'!G22-G22</f>
        <v>1.01176995948693E-3</v>
      </c>
      <c r="N22" s="92">
        <f>'Table 1 ED2 Detailed'!H22-H22</f>
        <v>2.2593537748309411E-3</v>
      </c>
      <c r="O22" s="93">
        <f>'Table 1 ED2 Detailed'!I22-I22</f>
        <v>4.0948675555225189E-3</v>
      </c>
      <c r="P22" s="105"/>
    </row>
    <row r="23" spans="1:16" x14ac:dyDescent="0.25">
      <c r="A23" s="96" t="s">
        <v>98</v>
      </c>
      <c r="B23" s="78" t="s">
        <v>6</v>
      </c>
      <c r="C23" s="78"/>
      <c r="D23" s="76"/>
      <c r="E23" s="92">
        <f>[10]Totex!AR25</f>
        <v>1.999159424044483</v>
      </c>
      <c r="F23" s="92">
        <f>[10]Totex!AS25</f>
        <v>1.728275082469424</v>
      </c>
      <c r="G23" s="92">
        <f>[10]Totex!AT25</f>
        <v>1.1085213261385796</v>
      </c>
      <c r="H23" s="92">
        <f>[10]Totex!AU25</f>
        <v>0.97744618869231359</v>
      </c>
      <c r="I23" s="93">
        <f>[10]Totex!AV25</f>
        <v>1.2809295046380822</v>
      </c>
      <c r="J23" s="75"/>
      <c r="K23" s="92">
        <f>'Table 1 ED2 Detailed'!E23-E23</f>
        <v>-0.60256371933025932</v>
      </c>
      <c r="L23" s="92">
        <f>'Table 1 ED2 Detailed'!F23-F23</f>
        <v>0</v>
      </c>
      <c r="M23" s="92">
        <f>'Table 1 ED2 Detailed'!G23-G23</f>
        <v>0</v>
      </c>
      <c r="N23" s="92">
        <f>'Table 1 ED2 Detailed'!H23-H23</f>
        <v>0</v>
      </c>
      <c r="O23" s="93">
        <f>'Table 1 ED2 Detailed'!I23-I23</f>
        <v>0</v>
      </c>
      <c r="P23" s="105"/>
    </row>
    <row r="24" spans="1:16" x14ac:dyDescent="0.25">
      <c r="A24" s="96" t="s">
        <v>99</v>
      </c>
      <c r="B24" s="78" t="s">
        <v>6</v>
      </c>
      <c r="C24" s="78"/>
      <c r="D24" s="76"/>
      <c r="E24" s="92">
        <f>[10]Totex!AR26</f>
        <v>0</v>
      </c>
      <c r="F24" s="92">
        <f>[10]Totex!AS26</f>
        <v>0</v>
      </c>
      <c r="G24" s="92">
        <f>[10]Totex!AT26</f>
        <v>0</v>
      </c>
      <c r="H24" s="92">
        <f>[10]Totex!AU26</f>
        <v>0</v>
      </c>
      <c r="I24" s="93">
        <f>[10]Totex!AV26</f>
        <v>0</v>
      </c>
      <c r="J24" s="75"/>
      <c r="K24" s="92">
        <f>'Table 1 ED2 Detailed'!E24-E24</f>
        <v>3.4239664870996694E-2</v>
      </c>
      <c r="L24" s="92">
        <f>'Table 1 ED2 Detailed'!F24-F24</f>
        <v>0</v>
      </c>
      <c r="M24" s="92">
        <f>'Table 1 ED2 Detailed'!G24-G24</f>
        <v>0</v>
      </c>
      <c r="N24" s="92">
        <f>'Table 1 ED2 Detailed'!H24-H24</f>
        <v>0</v>
      </c>
      <c r="O24" s="93">
        <f>'Table 1 ED2 Detailed'!I24-I24</f>
        <v>0</v>
      </c>
      <c r="P24" s="105"/>
    </row>
    <row r="25" spans="1:16" x14ac:dyDescent="0.25">
      <c r="A25" s="96" t="s">
        <v>100</v>
      </c>
      <c r="B25" s="78" t="s">
        <v>6</v>
      </c>
      <c r="C25" s="78"/>
      <c r="D25" s="76"/>
      <c r="E25" s="92">
        <f>[10]Totex!AR27</f>
        <v>0</v>
      </c>
      <c r="F25" s="92">
        <f>[10]Totex!AS27</f>
        <v>0</v>
      </c>
      <c r="G25" s="92">
        <f>[10]Totex!AT27</f>
        <v>0</v>
      </c>
      <c r="H25" s="92">
        <f>[10]Totex!AU27</f>
        <v>0</v>
      </c>
      <c r="I25" s="93">
        <f>[10]Totex!AV27</f>
        <v>0</v>
      </c>
      <c r="J25" s="75"/>
      <c r="K25" s="92">
        <f>'Table 1 ED2 Detailed'!E25-E25</f>
        <v>0</v>
      </c>
      <c r="L25" s="92">
        <f>'Table 1 ED2 Detailed'!F25-F25</f>
        <v>0</v>
      </c>
      <c r="M25" s="92">
        <f>'Table 1 ED2 Detailed'!G25-G25</f>
        <v>0</v>
      </c>
      <c r="N25" s="92">
        <f>'Table 1 ED2 Detailed'!H25-H25</f>
        <v>0</v>
      </c>
      <c r="O25" s="93">
        <f>'Table 1 ED2 Detailed'!I25-I25</f>
        <v>0</v>
      </c>
      <c r="P25" s="105"/>
    </row>
    <row r="26" spans="1:16" x14ac:dyDescent="0.25">
      <c r="A26" s="96" t="s">
        <v>101</v>
      </c>
      <c r="B26" s="78" t="s">
        <v>6</v>
      </c>
      <c r="C26" s="78"/>
      <c r="D26" s="76"/>
      <c r="E26" s="92">
        <f>[10]Totex!AR28</f>
        <v>0</v>
      </c>
      <c r="F26" s="92">
        <f>[10]Totex!AS28</f>
        <v>0</v>
      </c>
      <c r="G26" s="92">
        <f>[10]Totex!AT28</f>
        <v>0</v>
      </c>
      <c r="H26" s="92">
        <f>[10]Totex!AU28</f>
        <v>0</v>
      </c>
      <c r="I26" s="93">
        <f>[10]Totex!AV28</f>
        <v>0</v>
      </c>
      <c r="J26" s="75"/>
      <c r="K26" s="92">
        <f>'Table 1 ED2 Detailed'!E26-E26</f>
        <v>0</v>
      </c>
      <c r="L26" s="92">
        <f>'Table 1 ED2 Detailed'!F26-F26</f>
        <v>0</v>
      </c>
      <c r="M26" s="92">
        <f>'Table 1 ED2 Detailed'!G26-G26</f>
        <v>0</v>
      </c>
      <c r="N26" s="92">
        <f>'Table 1 ED2 Detailed'!H26-H26</f>
        <v>0</v>
      </c>
      <c r="O26" s="93">
        <f>'Table 1 ED2 Detailed'!I26-I26</f>
        <v>0</v>
      </c>
      <c r="P26" s="105"/>
    </row>
    <row r="27" spans="1:16" x14ac:dyDescent="0.25">
      <c r="A27" s="96" t="s">
        <v>102</v>
      </c>
      <c r="B27" s="78" t="s">
        <v>6</v>
      </c>
      <c r="C27" s="78"/>
      <c r="D27" s="76"/>
      <c r="E27" s="92">
        <f>[10]Totex!AR29</f>
        <v>-8.4910552725134397E-2</v>
      </c>
      <c r="F27" s="92">
        <f>[10]Totex!AS29</f>
        <v>1.432325008945242</v>
      </c>
      <c r="G27" s="92">
        <f>[10]Totex!AT29</f>
        <v>4.0636552287565531</v>
      </c>
      <c r="H27" s="92">
        <f>[10]Totex!AU29</f>
        <v>5.5218496368025738</v>
      </c>
      <c r="I27" s="93">
        <f>[10]Totex!AV29</f>
        <v>5.0561669012774733</v>
      </c>
      <c r="J27" s="75"/>
      <c r="K27" s="92">
        <f>'Table 1 ED2 Detailed'!E27-E27</f>
        <v>0.4313385764676595</v>
      </c>
      <c r="L27" s="92">
        <f>'Table 1 ED2 Detailed'!F27-F27</f>
        <v>0</v>
      </c>
      <c r="M27" s="92">
        <f>'Table 1 ED2 Detailed'!G27-G27</f>
        <v>0</v>
      </c>
      <c r="N27" s="92">
        <f>'Table 1 ED2 Detailed'!H27-H27</f>
        <v>0</v>
      </c>
      <c r="O27" s="93">
        <f>'Table 1 ED2 Detailed'!I27-I27</f>
        <v>0</v>
      </c>
      <c r="P27" s="105"/>
    </row>
    <row r="28" spans="1:16" x14ac:dyDescent="0.25">
      <c r="A28" s="64" t="s">
        <v>104</v>
      </c>
      <c r="B28" s="65" t="s">
        <v>6</v>
      </c>
      <c r="C28" s="65"/>
      <c r="D28" s="65"/>
      <c r="E28" s="84">
        <f>SUM(E21:E27)</f>
        <v>2.3226173383627442</v>
      </c>
      <c r="F28" s="84">
        <f t="shared" ref="F28:I28" si="3">SUM(F21:F27)</f>
        <v>17.730012029869499</v>
      </c>
      <c r="G28" s="84">
        <f t="shared" si="3"/>
        <v>42.790577848853921</v>
      </c>
      <c r="H28" s="84">
        <f t="shared" si="3"/>
        <v>56.880004590571851</v>
      </c>
      <c r="I28" s="85">
        <f t="shared" si="3"/>
        <v>52.700925476623084</v>
      </c>
      <c r="J28" s="64"/>
      <c r="K28" s="84">
        <f>'Table 1 ED2 Detailed'!E28-E28</f>
        <v>4.1037246791916928</v>
      </c>
      <c r="L28" s="84">
        <f>'Table 1 ED2 Detailed'!F28-F28</f>
        <v>0</v>
      </c>
      <c r="M28" s="84">
        <f>'Table 1 ED2 Detailed'!G28-G28</f>
        <v>0</v>
      </c>
      <c r="N28" s="84">
        <f>'Table 1 ED2 Detailed'!H28-H28</f>
        <v>0</v>
      </c>
      <c r="O28" s="85">
        <f>'Table 1 ED2 Detailed'!I28-I28</f>
        <v>0</v>
      </c>
      <c r="P28" s="105"/>
    </row>
    <row r="29" spans="1:16" x14ac:dyDescent="0.25">
      <c r="A29" s="97" t="s">
        <v>105</v>
      </c>
      <c r="B29" s="81" t="s">
        <v>6</v>
      </c>
      <c r="C29" s="81" t="s">
        <v>125</v>
      </c>
      <c r="D29" s="77"/>
      <c r="E29" s="94">
        <f>[10]InputSummary!AR72</f>
        <v>-1.1924660830147804</v>
      </c>
      <c r="F29" s="94">
        <f>[10]InputSummary!AS72</f>
        <v>12.648342647824272</v>
      </c>
      <c r="G29" s="94">
        <f>[10]InputSummary!AT72</f>
        <v>35.404624111657185</v>
      </c>
      <c r="H29" s="94">
        <f>[10]InputSummary!AU72</f>
        <v>48.646182750889608</v>
      </c>
      <c r="I29" s="95">
        <f>[10]InputSummary!AV72</f>
        <v>44.318078302843446</v>
      </c>
      <c r="J29" s="106"/>
      <c r="K29" s="94">
        <f>'Table 1 ED2 Detailed'!E29-E29</f>
        <v>3.6934369575434887</v>
      </c>
      <c r="L29" s="94">
        <f>'Table 1 ED2 Detailed'!F29-F29</f>
        <v>0</v>
      </c>
      <c r="M29" s="94">
        <f>'Table 1 ED2 Detailed'!G29-G29</f>
        <v>0</v>
      </c>
      <c r="N29" s="94">
        <f>'Table 1 ED2 Detailed'!H29-H29</f>
        <v>0</v>
      </c>
      <c r="O29" s="95">
        <f>'Table 1 ED2 Detailed'!I29-I29</f>
        <v>0</v>
      </c>
      <c r="P29" s="105"/>
    </row>
    <row r="30" spans="1:16" x14ac:dyDescent="0.25">
      <c r="A30" s="97" t="s">
        <v>106</v>
      </c>
      <c r="B30" s="81" t="s">
        <v>6</v>
      </c>
      <c r="C30" s="81" t="s">
        <v>126</v>
      </c>
      <c r="D30" s="77"/>
      <c r="E30" s="94">
        <f>[10]InputSummary!AR73</f>
        <v>1.4424460435180053</v>
      </c>
      <c r="F30" s="94">
        <f>[10]InputSummary!AS73</f>
        <v>1.4328934207132504</v>
      </c>
      <c r="G30" s="94">
        <f>[10]InputSummary!AT73</f>
        <v>1.1367621137658452</v>
      </c>
      <c r="H30" s="94">
        <f>[10]InputSummary!AU73</f>
        <v>0.23881557011887505</v>
      </c>
      <c r="I30" s="95">
        <f>[10]InputSummary!AV73</f>
        <v>0.23881557011887505</v>
      </c>
      <c r="J30" s="106"/>
      <c r="K30" s="94">
        <f>'Table 1 ED2 Detailed'!E30-E30</f>
        <v>0.43397710756759778</v>
      </c>
      <c r="L30" s="94">
        <f>'Table 1 ED2 Detailed'!F30-F30</f>
        <v>0</v>
      </c>
      <c r="M30" s="94">
        <f>'Table 1 ED2 Detailed'!G30-G30</f>
        <v>0</v>
      </c>
      <c r="N30" s="94">
        <f>'Table 1 ED2 Detailed'!H30-H30</f>
        <v>0</v>
      </c>
      <c r="O30" s="95">
        <f>'Table 1 ED2 Detailed'!I30-I30</f>
        <v>0</v>
      </c>
      <c r="P30" s="105"/>
    </row>
    <row r="31" spans="1:16" x14ac:dyDescent="0.25">
      <c r="A31" s="97" t="s">
        <v>107</v>
      </c>
      <c r="B31" s="81" t="s">
        <v>6</v>
      </c>
      <c r="C31" s="81" t="s">
        <v>127</v>
      </c>
      <c r="D31" s="77"/>
      <c r="E31" s="94">
        <f>[10]InputSummary!AR74</f>
        <v>1.9334768365415971</v>
      </c>
      <c r="F31" s="94">
        <f>[10]InputSummary!AS74</f>
        <v>1.6714924277356165</v>
      </c>
      <c r="G31" s="94">
        <f>[10]InputSummary!AT74</f>
        <v>1.0721007445045196</v>
      </c>
      <c r="H31" s="94">
        <f>[10]InputSummary!AU74</f>
        <v>0.94533209411537367</v>
      </c>
      <c r="I31" s="95">
        <f>[10]InputSummary!AV74</f>
        <v>1.2388444346524146</v>
      </c>
      <c r="J31" s="106"/>
      <c r="K31" s="94">
        <f>'Table 1 ED2 Detailed'!E31-E31</f>
        <v>-0.98302962658492921</v>
      </c>
      <c r="L31" s="94">
        <f>'Table 1 ED2 Detailed'!F31-F31</f>
        <v>0</v>
      </c>
      <c r="M31" s="94">
        <f>'Table 1 ED2 Detailed'!G31-G31</f>
        <v>0</v>
      </c>
      <c r="N31" s="94">
        <f>'Table 1 ED2 Detailed'!H31-H31</f>
        <v>0</v>
      </c>
      <c r="O31" s="95">
        <f>'Table 1 ED2 Detailed'!I31-I31</f>
        <v>0</v>
      </c>
      <c r="P31" s="105"/>
    </row>
    <row r="32" spans="1:16" x14ac:dyDescent="0.25">
      <c r="A32" s="97" t="s">
        <v>108</v>
      </c>
      <c r="B32" s="81" t="s">
        <v>6</v>
      </c>
      <c r="C32" s="81" t="s">
        <v>128</v>
      </c>
      <c r="D32" s="77"/>
      <c r="E32" s="94">
        <f>[10]InputSummary!AR75</f>
        <v>0</v>
      </c>
      <c r="F32" s="94">
        <f>[10]InputSummary!AS75</f>
        <v>0</v>
      </c>
      <c r="G32" s="94">
        <f>[10]InputSummary!AT75</f>
        <v>0</v>
      </c>
      <c r="H32" s="94">
        <f>[10]InputSummary!AU75</f>
        <v>0</v>
      </c>
      <c r="I32" s="95">
        <f>[10]InputSummary!AV75</f>
        <v>0</v>
      </c>
      <c r="J32" s="106"/>
      <c r="K32" s="94">
        <f>'Table 1 ED2 Detailed'!E32-E32</f>
        <v>1.3541741585084419E-4</v>
      </c>
      <c r="L32" s="94">
        <f>'Table 1 ED2 Detailed'!F32-F32</f>
        <v>0</v>
      </c>
      <c r="M32" s="94">
        <f>'Table 1 ED2 Detailed'!G32-G32</f>
        <v>0</v>
      </c>
      <c r="N32" s="94">
        <f>'Table 1 ED2 Detailed'!H32-H32</f>
        <v>0</v>
      </c>
      <c r="O32" s="95">
        <f>'Table 1 ED2 Detailed'!I32-I32</f>
        <v>0</v>
      </c>
      <c r="P32" s="105"/>
    </row>
    <row r="33" spans="1:16" x14ac:dyDescent="0.25">
      <c r="A33" s="97" t="s">
        <v>109</v>
      </c>
      <c r="B33" s="81" t="s">
        <v>6</v>
      </c>
      <c r="C33" s="81" t="s">
        <v>129</v>
      </c>
      <c r="D33" s="77"/>
      <c r="E33" s="94">
        <f>[10]InputSummary!AR76</f>
        <v>0</v>
      </c>
      <c r="F33" s="94">
        <f>[10]InputSummary!AS76</f>
        <v>0</v>
      </c>
      <c r="G33" s="94">
        <f>[10]InputSummary!AT76</f>
        <v>0</v>
      </c>
      <c r="H33" s="94">
        <f>[10]InputSummary!AU76</f>
        <v>0</v>
      </c>
      <c r="I33" s="95">
        <f>[10]InputSummary!AV76</f>
        <v>0</v>
      </c>
      <c r="J33" s="106"/>
      <c r="K33" s="94">
        <f>'Table 1 ED2 Detailed'!E33-E33</f>
        <v>3.057782784542328E-3</v>
      </c>
      <c r="L33" s="94">
        <f>'Table 1 ED2 Detailed'!F33-F33</f>
        <v>0</v>
      </c>
      <c r="M33" s="94">
        <f>'Table 1 ED2 Detailed'!G33-G33</f>
        <v>0</v>
      </c>
      <c r="N33" s="94">
        <f>'Table 1 ED2 Detailed'!H33-H33</f>
        <v>0</v>
      </c>
      <c r="O33" s="95">
        <f>'Table 1 ED2 Detailed'!I33-I33</f>
        <v>0</v>
      </c>
      <c r="P33" s="105"/>
    </row>
    <row r="34" spans="1:16" x14ac:dyDescent="0.25">
      <c r="A34" s="97" t="s">
        <v>110</v>
      </c>
      <c r="B34" s="81" t="s">
        <v>6</v>
      </c>
      <c r="C34" s="81" t="s">
        <v>130</v>
      </c>
      <c r="D34" s="77"/>
      <c r="E34" s="94">
        <f>[10]InputSummary!AR77</f>
        <v>0.26269174117653044</v>
      </c>
      <c r="F34" s="94">
        <f>[10]InputSummary!AS77</f>
        <v>0.50604583389236069</v>
      </c>
      <c r="G34" s="94">
        <f>[10]InputSummary!AT77</f>
        <v>0.93882162389580581</v>
      </c>
      <c r="H34" s="94">
        <f>[10]InputSummary!AU77</f>
        <v>1.1637438913023095</v>
      </c>
      <c r="I34" s="95">
        <f>[10]InputSummary!AV77</f>
        <v>1.1804923472677094</v>
      </c>
      <c r="J34" s="106"/>
      <c r="K34" s="94">
        <f>'Table 1 ED2 Detailed'!E34-E34</f>
        <v>-0.26269174117653044</v>
      </c>
      <c r="L34" s="94">
        <f>'Table 1 ED2 Detailed'!F34-F34</f>
        <v>0</v>
      </c>
      <c r="M34" s="94">
        <f>'Table 1 ED2 Detailed'!G34-G34</f>
        <v>0</v>
      </c>
      <c r="N34" s="94">
        <f>'Table 1 ED2 Detailed'!H34-H34</f>
        <v>0</v>
      </c>
      <c r="O34" s="95">
        <f>'Table 1 ED2 Detailed'!I34-I34</f>
        <v>0</v>
      </c>
      <c r="P34" s="105"/>
    </row>
    <row r="35" spans="1:16" x14ac:dyDescent="0.25">
      <c r="A35" s="97" t="s">
        <v>111</v>
      </c>
      <c r="B35" s="81" t="s">
        <v>6</v>
      </c>
      <c r="C35" s="81" t="s">
        <v>131</v>
      </c>
      <c r="D35" s="77"/>
      <c r="E35" s="94">
        <f>[10]InputSummary!AR78</f>
        <v>6.6376829612425747E-2</v>
      </c>
      <c r="F35" s="94">
        <f>[10]InputSummary!AS78</f>
        <v>5.7394656563732868E-2</v>
      </c>
      <c r="G35" s="94">
        <f>[10]InputSummary!AT78</f>
        <v>0.16787437798444213</v>
      </c>
      <c r="H35" s="94">
        <f>[10]InputSummary!AU78</f>
        <v>0.16516349231971267</v>
      </c>
      <c r="I35" s="95">
        <f>[10]InputSummary!AV78</f>
        <v>0.17144011034743903</v>
      </c>
      <c r="J35" s="106"/>
      <c r="K35" s="94">
        <f>'Table 1 ED2 Detailed'!E35-E35</f>
        <v>0.28479732039173444</v>
      </c>
      <c r="L35" s="94">
        <f>'Table 1 ED2 Detailed'!F35-F35</f>
        <v>0</v>
      </c>
      <c r="M35" s="94">
        <f>'Table 1 ED2 Detailed'!G35-G35</f>
        <v>0</v>
      </c>
      <c r="N35" s="94">
        <f>'Table 1 ED2 Detailed'!H35-H35</f>
        <v>0</v>
      </c>
      <c r="O35" s="95">
        <f>'Table 1 ED2 Detailed'!I35-I35</f>
        <v>0</v>
      </c>
      <c r="P35" s="105"/>
    </row>
    <row r="36" spans="1:16" x14ac:dyDescent="0.25">
      <c r="A36" s="66" t="s">
        <v>113</v>
      </c>
      <c r="B36" s="67" t="s">
        <v>6</v>
      </c>
      <c r="C36" s="67"/>
      <c r="D36" s="67"/>
      <c r="E36" s="86">
        <f>SUM(E29:E35)</f>
        <v>2.5125253678337782</v>
      </c>
      <c r="F36" s="86">
        <f t="shared" ref="F36:I36" si="4">SUM(F29:F35)</f>
        <v>16.316168986729235</v>
      </c>
      <c r="G36" s="86">
        <f t="shared" si="4"/>
        <v>38.720182971807795</v>
      </c>
      <c r="H36" s="86">
        <f t="shared" si="4"/>
        <v>51.159237798745878</v>
      </c>
      <c r="I36" s="87">
        <f t="shared" si="4"/>
        <v>47.147670765229883</v>
      </c>
      <c r="J36" s="66"/>
      <c r="K36" s="86">
        <f>'Table 1 ED2 Detailed'!E36-E36</f>
        <v>3.169683217941754</v>
      </c>
      <c r="L36" s="86">
        <f>'Table 1 ED2 Detailed'!F36-F36</f>
        <v>0</v>
      </c>
      <c r="M36" s="86">
        <f>'Table 1 ED2 Detailed'!G36-G36</f>
        <v>0</v>
      </c>
      <c r="N36" s="86">
        <f>'Table 1 ED2 Detailed'!H36-H36</f>
        <v>0</v>
      </c>
      <c r="O36" s="87">
        <f>'Table 1 ED2 Detailed'!I36-I36</f>
        <v>0</v>
      </c>
      <c r="P36" s="105"/>
    </row>
    <row r="37" spans="1:16" x14ac:dyDescent="0.25">
      <c r="A37" s="68" t="s">
        <v>116</v>
      </c>
      <c r="B37" s="69" t="s">
        <v>6</v>
      </c>
      <c r="C37" s="69"/>
      <c r="D37" s="69"/>
      <c r="E37" s="88">
        <f>IF(E36&gt;0,(E36-E28)*0.5+E28,E28)</f>
        <v>2.4175713530982614</v>
      </c>
      <c r="F37" s="88">
        <f t="shared" ref="F37:I37" si="5">IF(F36&gt;0,(F36-F28)*0.5+F28,F28)</f>
        <v>17.023090508299369</v>
      </c>
      <c r="G37" s="88">
        <f t="shared" si="5"/>
        <v>40.755380410330858</v>
      </c>
      <c r="H37" s="88">
        <f t="shared" si="5"/>
        <v>54.019621194658868</v>
      </c>
      <c r="I37" s="89">
        <f t="shared" si="5"/>
        <v>49.92429812092648</v>
      </c>
      <c r="J37" s="68"/>
      <c r="K37" s="88">
        <f>'Table 1 ED2 Detailed'!E37-E37</f>
        <v>3.6367039485667236</v>
      </c>
      <c r="L37" s="88">
        <f>'Table 1 ED2 Detailed'!F37-F37</f>
        <v>0</v>
      </c>
      <c r="M37" s="88">
        <f>'Table 1 ED2 Detailed'!G37-G37</f>
        <v>0</v>
      </c>
      <c r="N37" s="88">
        <f>'Table 1 ED2 Detailed'!H37-H37</f>
        <v>0</v>
      </c>
      <c r="O37" s="89">
        <f>'Table 1 ED2 Detailed'!I37-I37</f>
        <v>0</v>
      </c>
      <c r="P37" s="105"/>
    </row>
    <row r="38" spans="1:16" x14ac:dyDescent="0.25">
      <c r="A38" s="73" t="s">
        <v>117</v>
      </c>
      <c r="B38" s="74" t="s">
        <v>6</v>
      </c>
      <c r="C38" s="74"/>
      <c r="D38" s="74"/>
      <c r="E38" s="90">
        <f>(1-[10]TIM!AR$60)*E37</f>
        <v>0.36263570296473929</v>
      </c>
      <c r="F38" s="90">
        <f>(1-[10]TIM!AS$60)*F37</f>
        <v>2.5534635762449058</v>
      </c>
      <c r="G38" s="90">
        <f>(1-[10]TIM!AT$60)*G37</f>
        <v>6.1133070615496292</v>
      </c>
      <c r="H38" s="90">
        <f>(1-[10]TIM!AU$60)*H37</f>
        <v>8.1029431791988316</v>
      </c>
      <c r="I38" s="91">
        <f>(1-[10]TIM!AV$60)*I37</f>
        <v>7.488644718138973</v>
      </c>
      <c r="J38" s="73"/>
      <c r="K38" s="90">
        <f>'Table 1 ED2 Detailed'!E38-E38</f>
        <v>0.5455055922850085</v>
      </c>
      <c r="L38" s="90">
        <f>'Table 1 ED2 Detailed'!F38-F38</f>
        <v>0</v>
      </c>
      <c r="M38" s="90">
        <f>'Table 1 ED2 Detailed'!G38-G38</f>
        <v>0</v>
      </c>
      <c r="N38" s="90">
        <f>'Table 1 ED2 Detailed'!H38-H38</f>
        <v>0</v>
      </c>
      <c r="O38" s="91">
        <f>'Table 1 ED2 Detailed'!I38-I38</f>
        <v>0</v>
      </c>
      <c r="P38" s="105"/>
    </row>
    <row r="39" spans="1:16" x14ac:dyDescent="0.25">
      <c r="A39" s="15" t="s">
        <v>5</v>
      </c>
      <c r="B39" s="1" t="s">
        <v>6</v>
      </c>
      <c r="C39" s="1" t="s">
        <v>7</v>
      </c>
      <c r="D39" s="1"/>
      <c r="E39" s="4">
        <f>E20+E38</f>
        <v>59.949733165085952</v>
      </c>
      <c r="F39" s="4">
        <f t="shared" ref="F39:I39" si="6">F20+F38</f>
        <v>61.673984670753342</v>
      </c>
      <c r="G39" s="4">
        <f t="shared" si="6"/>
        <v>66.996462689311358</v>
      </c>
      <c r="H39" s="4">
        <f t="shared" si="6"/>
        <v>63.251416781685073</v>
      </c>
      <c r="I39" s="18">
        <f t="shared" si="6"/>
        <v>59.883557894515171</v>
      </c>
      <c r="J39" s="15"/>
      <c r="K39" s="4">
        <f>'Table 1 ED2 Detailed'!E39-E39</f>
        <v>-4.0983873836225442</v>
      </c>
      <c r="L39" s="4">
        <f>'Table 1 ED2 Detailed'!F39-F39</f>
        <v>0</v>
      </c>
      <c r="M39" s="4">
        <f>'Table 1 ED2 Detailed'!G39-G39</f>
        <v>0</v>
      </c>
      <c r="N39" s="4">
        <f>'Table 1 ED2 Detailed'!H39-H39</f>
        <v>0</v>
      </c>
      <c r="O39" s="18">
        <f>'Table 1 ED2 Detailed'!I39-I39</f>
        <v>0</v>
      </c>
      <c r="P39" s="105"/>
    </row>
    <row r="40" spans="1:16" x14ac:dyDescent="0.25">
      <c r="A40" s="16" t="s">
        <v>9</v>
      </c>
      <c r="B40" s="2" t="s">
        <v>6</v>
      </c>
      <c r="C40" s="2"/>
      <c r="D40" s="2"/>
      <c r="E40" s="3">
        <f>[10]Depn!AR29</f>
        <v>80.536592007839971</v>
      </c>
      <c r="F40" s="3">
        <f>[10]Depn!AS29</f>
        <v>75.514922372730155</v>
      </c>
      <c r="G40" s="3">
        <f>[10]Depn!AT29</f>
        <v>69.709277117809052</v>
      </c>
      <c r="H40" s="3">
        <f>[10]Depn!AU29</f>
        <v>64.118675022162904</v>
      </c>
      <c r="I40" s="17">
        <f>[10]Depn!AV29</f>
        <v>57.987654326767355</v>
      </c>
      <c r="J40" s="16"/>
      <c r="K40" s="3">
        <f>'Table 1 ED2 Detailed'!E40-E40</f>
        <v>0</v>
      </c>
      <c r="L40" s="3">
        <f>'Table 1 ED2 Detailed'!F40-F40</f>
        <v>0</v>
      </c>
      <c r="M40" s="3">
        <f>'Table 1 ED2 Detailed'!G40-G40</f>
        <v>0</v>
      </c>
      <c r="N40" s="3">
        <f>'Table 1 ED2 Detailed'!H40-H40</f>
        <v>0</v>
      </c>
      <c r="O40" s="17">
        <f>'Table 1 ED2 Detailed'!I40-I40</f>
        <v>0</v>
      </c>
      <c r="P40" s="105"/>
    </row>
    <row r="41" spans="1:16" x14ac:dyDescent="0.25">
      <c r="A41" s="16" t="s">
        <v>10</v>
      </c>
      <c r="B41" s="2" t="s">
        <v>6</v>
      </c>
      <c r="C41" s="2"/>
      <c r="D41" s="2"/>
      <c r="E41" s="3">
        <f>[10]Depn!AR30</f>
        <v>50.111666976603196</v>
      </c>
      <c r="F41" s="3">
        <f>[10]Depn!AS30</f>
        <v>50.111666976603196</v>
      </c>
      <c r="G41" s="3">
        <f>[10]Depn!AT30</f>
        <v>50.111666976603196</v>
      </c>
      <c r="H41" s="3">
        <f>[10]Depn!AU30</f>
        <v>50.111666976603196</v>
      </c>
      <c r="I41" s="17">
        <f>[10]Depn!AV30</f>
        <v>50.111666976603196</v>
      </c>
      <c r="J41" s="16"/>
      <c r="K41" s="3">
        <f>'Table 1 ED2 Detailed'!E41-E41</f>
        <v>0</v>
      </c>
      <c r="L41" s="3">
        <f>'Table 1 ED2 Detailed'!F41-F41</f>
        <v>0</v>
      </c>
      <c r="M41" s="3">
        <f>'Table 1 ED2 Detailed'!G41-G41</f>
        <v>0</v>
      </c>
      <c r="N41" s="3">
        <f>'Table 1 ED2 Detailed'!H41-H41</f>
        <v>0</v>
      </c>
      <c r="O41" s="17">
        <f>'Table 1 ED2 Detailed'!I41-I41</f>
        <v>0</v>
      </c>
      <c r="P41" s="105"/>
    </row>
    <row r="42" spans="1:16" x14ac:dyDescent="0.25">
      <c r="A42" s="16" t="s">
        <v>11</v>
      </c>
      <c r="B42" s="2" t="s">
        <v>6</v>
      </c>
      <c r="C42" s="2"/>
      <c r="D42" s="2"/>
      <c r="E42" s="3">
        <f>[10]Depn!AR31</f>
        <v>0</v>
      </c>
      <c r="F42" s="3">
        <f>[10]Depn!AS31</f>
        <v>5.0270204742437894</v>
      </c>
      <c r="G42" s="3">
        <f>[10]Depn!AT31</f>
        <v>10.290918180105495</v>
      </c>
      <c r="H42" s="3">
        <f>[10]Depn!AU31</f>
        <v>16.150444989542091</v>
      </c>
      <c r="I42" s="17">
        <f>[10]Depn!AV31</f>
        <v>21.781111288929473</v>
      </c>
      <c r="J42" s="16"/>
      <c r="K42" s="3">
        <f>'Table 1 ED2 Detailed'!E42-E42</f>
        <v>0</v>
      </c>
      <c r="L42" s="3">
        <f>'Table 1 ED2 Detailed'!F42-F42</f>
        <v>-0.31952632763468891</v>
      </c>
      <c r="M42" s="3">
        <f>'Table 1 ED2 Detailed'!G42-G42</f>
        <v>-0.31952632763468891</v>
      </c>
      <c r="N42" s="3">
        <f>'Table 1 ED2 Detailed'!H42-H42</f>
        <v>-0.31952632763469069</v>
      </c>
      <c r="O42" s="17">
        <f>'Table 1 ED2 Detailed'!I42-I42</f>
        <v>-0.31952632763469069</v>
      </c>
      <c r="P42" s="105"/>
    </row>
    <row r="43" spans="1:16" x14ac:dyDescent="0.25">
      <c r="A43" s="15" t="s">
        <v>8</v>
      </c>
      <c r="B43" s="1" t="s">
        <v>6</v>
      </c>
      <c r="C43" s="1" t="s">
        <v>21</v>
      </c>
      <c r="D43" s="1"/>
      <c r="E43" s="4">
        <f>E40+E41+E42</f>
        <v>130.64825898444317</v>
      </c>
      <c r="F43" s="4">
        <f t="shared" ref="F43:I43" si="7">F40+F41+F42</f>
        <v>130.65360982357714</v>
      </c>
      <c r="G43" s="4">
        <f t="shared" si="7"/>
        <v>130.11186227451776</v>
      </c>
      <c r="H43" s="4">
        <f t="shared" si="7"/>
        <v>130.38078698830819</v>
      </c>
      <c r="I43" s="18">
        <f t="shared" si="7"/>
        <v>129.88043259230002</v>
      </c>
      <c r="J43" s="15"/>
      <c r="K43" s="4">
        <f>'Table 1 ED2 Detailed'!E43-E43</f>
        <v>0</v>
      </c>
      <c r="L43" s="4">
        <f>'Table 1 ED2 Detailed'!F43-F43</f>
        <v>-0.31952632763469069</v>
      </c>
      <c r="M43" s="4">
        <f>'Table 1 ED2 Detailed'!G43-G43</f>
        <v>-0.31952632763469069</v>
      </c>
      <c r="N43" s="4">
        <f>'Table 1 ED2 Detailed'!H43-H43</f>
        <v>-0.31952632763469069</v>
      </c>
      <c r="O43" s="18">
        <f>'Table 1 ED2 Detailed'!I43-I43</f>
        <v>-0.31952632763469069</v>
      </c>
      <c r="P43" s="105"/>
    </row>
    <row r="44" spans="1:16" x14ac:dyDescent="0.25">
      <c r="A44" s="16" t="s">
        <v>12</v>
      </c>
      <c r="B44" s="2" t="s">
        <v>13</v>
      </c>
      <c r="C44" s="2"/>
      <c r="D44" s="2"/>
      <c r="E44" s="5">
        <f>'[10]Return&amp;RAV'!AR$12</f>
        <v>3.97335776E-2</v>
      </c>
      <c r="F44" s="5">
        <f>'[10]Return&amp;RAV'!AS$12</f>
        <v>4.1370183200000001E-2</v>
      </c>
      <c r="G44" s="5">
        <f>'[10]Return&amp;RAV'!AT$12</f>
        <v>4.1450170800000005E-2</v>
      </c>
      <c r="H44" s="5">
        <f>'[10]Return&amp;RAV'!AU$12</f>
        <v>4.15681044E-2</v>
      </c>
      <c r="I44" s="19">
        <f>'[10]Return&amp;RAV'!AV$12</f>
        <v>4.1755693600000005E-2</v>
      </c>
      <c r="J44" s="16"/>
      <c r="K44" s="5">
        <f>'Table 1 ED2 Detailed'!E44-E44</f>
        <v>0</v>
      </c>
      <c r="L44" s="5">
        <f>'Table 1 ED2 Detailed'!F44-F44</f>
        <v>0</v>
      </c>
      <c r="M44" s="5">
        <f>'Table 1 ED2 Detailed'!G44-G44</f>
        <v>0</v>
      </c>
      <c r="N44" s="5">
        <f>'Table 1 ED2 Detailed'!H44-H44</f>
        <v>0</v>
      </c>
      <c r="O44" s="19">
        <f>'Table 1 ED2 Detailed'!I44-I44</f>
        <v>0</v>
      </c>
      <c r="P44" s="105"/>
    </row>
    <row r="45" spans="1:16" x14ac:dyDescent="0.25">
      <c r="A45" s="16" t="s">
        <v>14</v>
      </c>
      <c r="B45" s="2" t="s">
        <v>15</v>
      </c>
      <c r="C45" s="2"/>
      <c r="D45" s="2"/>
      <c r="E45" s="6">
        <f t="shared" ref="E45:I45" si="8">1 / (1 + E44)</f>
        <v>0.96178484714159518</v>
      </c>
      <c r="F45" s="6">
        <f t="shared" si="8"/>
        <v>0.96027331695548013</v>
      </c>
      <c r="G45" s="6">
        <f t="shared" si="8"/>
        <v>0.96019956406732399</v>
      </c>
      <c r="H45" s="6">
        <f t="shared" si="8"/>
        <v>0.96009084358055918</v>
      </c>
      <c r="I45" s="20">
        <f t="shared" si="8"/>
        <v>0.95991795978987671</v>
      </c>
      <c r="J45" s="16"/>
      <c r="K45" s="6">
        <f>'Table 1 ED2 Detailed'!E45-E45</f>
        <v>0</v>
      </c>
      <c r="L45" s="6">
        <f>'Table 1 ED2 Detailed'!F45-F45</f>
        <v>0</v>
      </c>
      <c r="M45" s="6">
        <f>'Table 1 ED2 Detailed'!G45-G45</f>
        <v>0</v>
      </c>
      <c r="N45" s="6">
        <f>'Table 1 ED2 Detailed'!H45-H45</f>
        <v>0</v>
      </c>
      <c r="O45" s="20">
        <f>'Table 1 ED2 Detailed'!I45-I45</f>
        <v>0</v>
      </c>
      <c r="P45" s="105"/>
    </row>
    <row r="46" spans="1:16" x14ac:dyDescent="0.25">
      <c r="A46" s="16" t="s">
        <v>16</v>
      </c>
      <c r="B46" s="2" t="s">
        <v>6</v>
      </c>
      <c r="C46" s="2"/>
      <c r="D46" s="2"/>
      <c r="E46" s="62">
        <f>'[10]Return&amp;RAV'!AR$15</f>
        <v>2058.2891964827722</v>
      </c>
      <c r="F46" s="62">
        <f>'[10]Return&amp;RAV'!AS$15</f>
        <v>2164.510983422972</v>
      </c>
      <c r="G46" s="62">
        <f>'[10]Return&amp;RAV'!AT$15</f>
        <v>2298.0778275731009</v>
      </c>
      <c r="H46" s="62">
        <f>'[10]Return&amp;RAV'!AU$15</f>
        <v>2421.0770240572251</v>
      </c>
      <c r="I46" s="63">
        <f>'[10]Return&amp;RAV'!AV$15</f>
        <v>2530.7369182455086</v>
      </c>
      <c r="J46" s="16"/>
      <c r="K46" s="62">
        <f>'Table 1 ED2 Detailed'!E46-E46</f>
        <v>-14.378684743560825</v>
      </c>
      <c r="L46" s="62">
        <f>'Table 1 ED2 Detailed'!F46-F46</f>
        <v>-14.059158415926504</v>
      </c>
      <c r="M46" s="62">
        <f>'Table 1 ED2 Detailed'!G46-G46</f>
        <v>-13.739632088291728</v>
      </c>
      <c r="N46" s="62">
        <f>'Table 1 ED2 Detailed'!H46-H46</f>
        <v>-13.420105760657407</v>
      </c>
      <c r="O46" s="63">
        <f>'Table 1 ED2 Detailed'!I46-I46</f>
        <v>-13.100579433022631</v>
      </c>
      <c r="P46" s="105"/>
    </row>
    <row r="47" spans="1:16" x14ac:dyDescent="0.25">
      <c r="A47" s="16" t="s">
        <v>18</v>
      </c>
      <c r="B47" s="2" t="s">
        <v>6</v>
      </c>
      <c r="C47" s="2"/>
      <c r="D47" s="2"/>
      <c r="E47" s="62">
        <f>'[10]Return&amp;RAV'!AR$43</f>
        <v>1962.7215341262449</v>
      </c>
      <c r="F47" s="62">
        <f>'[10]Return&amp;RAV'!AS$43</f>
        <v>2058.2891964827722</v>
      </c>
      <c r="G47" s="62">
        <f>'[10]Return&amp;RAV'!AT$43</f>
        <v>2164.510983422972</v>
      </c>
      <c r="H47" s="62">
        <f>'[10]Return&amp;RAV'!AU$43</f>
        <v>2298.0778275731009</v>
      </c>
      <c r="I47" s="63">
        <f>'[10]Return&amp;RAV'!AV$43</f>
        <v>2421.0770240572251</v>
      </c>
      <c r="J47" s="16"/>
      <c r="K47" s="62">
        <f>'Table 1 ED2 Detailed'!E47-E47</f>
        <v>0</v>
      </c>
      <c r="L47" s="62">
        <f>'Table 1 ED2 Detailed'!F47-F47</f>
        <v>-14.378684743560825</v>
      </c>
      <c r="M47" s="62">
        <f>'Table 1 ED2 Detailed'!G47-G47</f>
        <v>-14.059158415926504</v>
      </c>
      <c r="N47" s="62">
        <f>'Table 1 ED2 Detailed'!H47-H47</f>
        <v>-13.739632088291728</v>
      </c>
      <c r="O47" s="63">
        <f>'Table 1 ED2 Detailed'!I47-I47</f>
        <v>-13.420105760657407</v>
      </c>
      <c r="P47" s="105"/>
    </row>
    <row r="48" spans="1:16" x14ac:dyDescent="0.25">
      <c r="A48" s="16" t="s">
        <v>17</v>
      </c>
      <c r="B48" s="2" t="s">
        <v>6</v>
      </c>
      <c r="C48" s="2"/>
      <c r="D48" s="2"/>
      <c r="E48" s="62">
        <f>E45 * E46</f>
        <v>1979.6313602123798</v>
      </c>
      <c r="F48" s="62">
        <f t="shared" ref="F48:I48" si="9">F45 * F46</f>
        <v>2078.5221416381455</v>
      </c>
      <c r="G48" s="62">
        <f t="shared" si="9"/>
        <v>2206.6133282284745</v>
      </c>
      <c r="H48" s="62">
        <f t="shared" si="9"/>
        <v>2324.4538824006108</v>
      </c>
      <c r="I48" s="63">
        <f t="shared" si="9"/>
        <v>2429.2998193271487</v>
      </c>
      <c r="J48" s="16"/>
      <c r="K48" s="62">
        <f>'Table 1 ED2 Detailed'!E48-E48</f>
        <v>-13.829201108182815</v>
      </c>
      <c r="L48" s="62">
        <f>'Table 1 ED2 Detailed'!F48-F48</f>
        <v>-13.500634685664409</v>
      </c>
      <c r="M48" s="62">
        <f>'Table 1 ED2 Detailed'!G48-G48</f>
        <v>-13.19278874162319</v>
      </c>
      <c r="N48" s="62">
        <f>'Table 1 ED2 Detailed'!H48-H48</f>
        <v>-12.884520660689759</v>
      </c>
      <c r="O48" s="63">
        <f>'Table 1 ED2 Detailed'!I48-I48</f>
        <v>-12.575481481412226</v>
      </c>
      <c r="P48" s="105"/>
    </row>
    <row r="49" spans="1:16" x14ac:dyDescent="0.25">
      <c r="A49" s="16" t="s">
        <v>19</v>
      </c>
      <c r="B49" s="2" t="s">
        <v>6</v>
      </c>
      <c r="C49" s="2"/>
      <c r="D49" s="2"/>
      <c r="E49" s="62">
        <f t="shared" ref="E49:I49" si="10">AVERAGE(E47:E48)</f>
        <v>1971.1764471693123</v>
      </c>
      <c r="F49" s="62">
        <f t="shared" si="10"/>
        <v>2068.4056690604589</v>
      </c>
      <c r="G49" s="62">
        <f t="shared" si="10"/>
        <v>2185.5621558257235</v>
      </c>
      <c r="H49" s="62">
        <f t="shared" si="10"/>
        <v>2311.2658549868556</v>
      </c>
      <c r="I49" s="63">
        <f t="shared" si="10"/>
        <v>2425.1884216921871</v>
      </c>
      <c r="J49" s="16"/>
      <c r="K49" s="62">
        <f>'Table 1 ED2 Detailed'!E49-E49</f>
        <v>-6.9146005540912938</v>
      </c>
      <c r="L49" s="62">
        <f>'Table 1 ED2 Detailed'!F49-F49</f>
        <v>-13.939659714612844</v>
      </c>
      <c r="M49" s="62">
        <f>'Table 1 ED2 Detailed'!G49-G49</f>
        <v>-13.625973578775302</v>
      </c>
      <c r="N49" s="62">
        <f>'Table 1 ED2 Detailed'!H49-H49</f>
        <v>-13.312076374490516</v>
      </c>
      <c r="O49" s="63">
        <f>'Table 1 ED2 Detailed'!I49-I49</f>
        <v>-12.997793621035271</v>
      </c>
      <c r="P49" s="105"/>
    </row>
    <row r="50" spans="1:16" x14ac:dyDescent="0.25">
      <c r="A50" s="15" t="s">
        <v>20</v>
      </c>
      <c r="B50" s="1" t="s">
        <v>6</v>
      </c>
      <c r="C50" s="1" t="s">
        <v>22</v>
      </c>
      <c r="D50" s="1"/>
      <c r="E50" s="4">
        <f>E49*E44</f>
        <v>78.321892326894172</v>
      </c>
      <c r="F50" s="4">
        <f t="shared" ref="F50:I50" si="11">F49*F44</f>
        <v>85.570321460949756</v>
      </c>
      <c r="G50" s="4">
        <f t="shared" si="11"/>
        <v>90.591924652992461</v>
      </c>
      <c r="H50" s="4">
        <f t="shared" si="11"/>
        <v>96.074940356248874</v>
      </c>
      <c r="I50" s="18">
        <f t="shared" si="11"/>
        <v>101.26542465844658</v>
      </c>
      <c r="J50" s="15"/>
      <c r="K50" s="4">
        <f>'Table 1 ED2 Detailed'!E50-E50</f>
        <v>-0.27474181768899086</v>
      </c>
      <c r="L50" s="4">
        <f>'Table 1 ED2 Detailed'!F50-F50</f>
        <v>-0.57668627613919909</v>
      </c>
      <c r="M50" s="4">
        <f>'Table 1 ED2 Detailed'!G50-G50</f>
        <v>-0.56479893215652055</v>
      </c>
      <c r="N50" s="4">
        <f>'Table 1 ED2 Detailed'!H50-H50</f>
        <v>-0.55335778051559714</v>
      </c>
      <c r="O50" s="18">
        <f>'Table 1 ED2 Detailed'!I50-I50</f>
        <v>-0.54273188791599125</v>
      </c>
      <c r="P50" s="105"/>
    </row>
    <row r="51" spans="1:16" x14ac:dyDescent="0.25">
      <c r="A51" s="16" t="s">
        <v>24</v>
      </c>
      <c r="B51" s="2" t="s">
        <v>6</v>
      </c>
      <c r="C51" s="2" t="s">
        <v>25</v>
      </c>
      <c r="D51" s="2"/>
      <c r="E51" s="3">
        <f>[10]InputSummary!AR83</f>
        <v>1.5379118453633793</v>
      </c>
      <c r="F51" s="3">
        <f>[10]InputSummary!AS83</f>
        <v>1.5379118453633793</v>
      </c>
      <c r="G51" s="3">
        <f>[10]InputSummary!AT83</f>
        <v>1.5379118453633793</v>
      </c>
      <c r="H51" s="3">
        <f>[10]InputSummary!AU83</f>
        <v>1.5379118453633793</v>
      </c>
      <c r="I51" s="17">
        <f>[10]InputSummary!AV83</f>
        <v>1.5379118453633793</v>
      </c>
      <c r="J51" s="16"/>
      <c r="K51" s="3">
        <f>'Table 1 ED2 Detailed'!E51-E51</f>
        <v>1.0241288095037326E-2</v>
      </c>
      <c r="L51" s="3">
        <f>'Table 1 ED2 Detailed'!F51-F51</f>
        <v>0</v>
      </c>
      <c r="M51" s="3">
        <f>'Table 1 ED2 Detailed'!G51-G51</f>
        <v>0</v>
      </c>
      <c r="N51" s="3">
        <f>'Table 1 ED2 Detailed'!H51-H51</f>
        <v>0</v>
      </c>
      <c r="O51" s="17">
        <f>'Table 1 ED2 Detailed'!I51-I51</f>
        <v>0</v>
      </c>
      <c r="P51" s="105"/>
    </row>
    <row r="52" spans="1:16" x14ac:dyDescent="0.25">
      <c r="A52" s="16" t="s">
        <v>26</v>
      </c>
      <c r="B52" s="2" t="s">
        <v>6</v>
      </c>
      <c r="C52" s="2" t="s">
        <v>27</v>
      </c>
      <c r="D52" s="2"/>
      <c r="E52" s="3">
        <f>[10]InputSummary!AR84</f>
        <v>18.786711757078074</v>
      </c>
      <c r="F52" s="3">
        <f>[10]InputSummary!AS84</f>
        <v>19.970956243055891</v>
      </c>
      <c r="G52" s="3">
        <f>[10]InputSummary!AT84</f>
        <v>20.151842219976167</v>
      </c>
      <c r="H52" s="3">
        <f>[10]InputSummary!AU84</f>
        <v>20.279875092477624</v>
      </c>
      <c r="I52" s="17">
        <f>[10]InputSummary!AV84</f>
        <v>20.54969776136149</v>
      </c>
      <c r="J52" s="16"/>
      <c r="K52" s="3">
        <f>'Table 1 ED2 Detailed'!E52-E52</f>
        <v>0.12510400198378946</v>
      </c>
      <c r="L52" s="3">
        <f>'Table 1 ED2 Detailed'!F52-F52</f>
        <v>0</v>
      </c>
      <c r="M52" s="3">
        <f>'Table 1 ED2 Detailed'!G52-G52</f>
        <v>0</v>
      </c>
      <c r="N52" s="3">
        <f>'Table 1 ED2 Detailed'!H52-H52</f>
        <v>0</v>
      </c>
      <c r="O52" s="17">
        <f>'Table 1 ED2 Detailed'!I52-I52</f>
        <v>0</v>
      </c>
      <c r="P52" s="105"/>
    </row>
    <row r="53" spans="1:16" x14ac:dyDescent="0.25">
      <c r="A53" s="16" t="s">
        <v>28</v>
      </c>
      <c r="B53" s="2" t="s">
        <v>6</v>
      </c>
      <c r="C53" s="2" t="s">
        <v>29</v>
      </c>
      <c r="D53" s="2"/>
      <c r="E53" s="3">
        <f>[10]InputSummary!AR85</f>
        <v>5.1562482246882073</v>
      </c>
      <c r="F53" s="3">
        <f>[10]InputSummary!AS85</f>
        <v>7.8719057563439909</v>
      </c>
      <c r="G53" s="3">
        <f>[10]InputSummary!AT85</f>
        <v>8.2734565784959884</v>
      </c>
      <c r="H53" s="3">
        <f>[10]InputSummary!AU85</f>
        <v>8.2734565784959848</v>
      </c>
      <c r="I53" s="17">
        <f>[10]InputSummary!AV85</f>
        <v>8.2734565784959866</v>
      </c>
      <c r="J53" s="16"/>
      <c r="K53" s="3">
        <f>'Table 1 ED2 Detailed'!E53-E53</f>
        <v>2.2326349340607621E-2</v>
      </c>
      <c r="L53" s="3">
        <f>'Table 1 ED2 Detailed'!F53-F53</f>
        <v>0</v>
      </c>
      <c r="M53" s="3">
        <f>'Table 1 ED2 Detailed'!G53-G53</f>
        <v>0</v>
      </c>
      <c r="N53" s="3">
        <f>'Table 1 ED2 Detailed'!H53-H53</f>
        <v>0</v>
      </c>
      <c r="O53" s="17">
        <f>'Table 1 ED2 Detailed'!I53-I53</f>
        <v>0</v>
      </c>
      <c r="P53" s="105"/>
    </row>
    <row r="54" spans="1:16" x14ac:dyDescent="0.25">
      <c r="A54" s="16" t="s">
        <v>30</v>
      </c>
      <c r="B54" s="2" t="s">
        <v>6</v>
      </c>
      <c r="C54" s="2" t="s">
        <v>31</v>
      </c>
      <c r="D54" s="2"/>
      <c r="E54" s="3">
        <f>[10]InputSummary!AR86</f>
        <v>1.6345159338464945</v>
      </c>
      <c r="F54" s="3">
        <f>[10]InputSummary!AS86</f>
        <v>1.6377376796476351</v>
      </c>
      <c r="G54" s="3">
        <f>[10]InputSummary!AT86</f>
        <v>1.6463813689065041</v>
      </c>
      <c r="H54" s="3">
        <f>[10]InputSummary!AU86</f>
        <v>1.6389898543691999</v>
      </c>
      <c r="I54" s="17">
        <f>[10]InputSummary!AV86</f>
        <v>1.6476411271182239</v>
      </c>
      <c r="J54" s="16"/>
      <c r="K54" s="3">
        <f>'Table 1 ED2 Detailed'!E54-E54</f>
        <v>-9.8075852441884104E-2</v>
      </c>
      <c r="L54" s="3">
        <f>'Table 1 ED2 Detailed'!F54-F54</f>
        <v>0</v>
      </c>
      <c r="M54" s="3">
        <f>'Table 1 ED2 Detailed'!G54-G54</f>
        <v>0</v>
      </c>
      <c r="N54" s="3">
        <f>'Table 1 ED2 Detailed'!H54-H54</f>
        <v>0</v>
      </c>
      <c r="O54" s="17">
        <f>'Table 1 ED2 Detailed'!I54-I54</f>
        <v>0</v>
      </c>
      <c r="P54" s="105"/>
    </row>
    <row r="55" spans="1:16" x14ac:dyDescent="0.25">
      <c r="A55" s="16" t="s">
        <v>32</v>
      </c>
      <c r="B55" s="2" t="s">
        <v>6</v>
      </c>
      <c r="C55" s="2" t="s">
        <v>33</v>
      </c>
      <c r="D55" s="2"/>
      <c r="E55" s="3">
        <f>[10]InputSummary!AR87</f>
        <v>0.45350000000000001</v>
      </c>
      <c r="F55" s="3">
        <f>[10]InputSummary!AS87</f>
        <v>0.43190000000000001</v>
      </c>
      <c r="G55" s="3">
        <f>[10]InputSummary!AT87</f>
        <v>0.58550000000000002</v>
      </c>
      <c r="H55" s="3">
        <f>[10]InputSummary!AU87</f>
        <v>0.4143</v>
      </c>
      <c r="I55" s="17">
        <f>[10]InputSummary!AV87</f>
        <v>0.41820000000000002</v>
      </c>
      <c r="J55" s="16"/>
      <c r="K55" s="3">
        <f>'Table 1 ED2 Detailed'!E55-E55</f>
        <v>-0.29474910116407943</v>
      </c>
      <c r="L55" s="3">
        <f>'Table 1 ED2 Detailed'!F55-F55</f>
        <v>0</v>
      </c>
      <c r="M55" s="3">
        <f>'Table 1 ED2 Detailed'!G55-G55</f>
        <v>0</v>
      </c>
      <c r="N55" s="3">
        <f>'Table 1 ED2 Detailed'!H55-H55</f>
        <v>0</v>
      </c>
      <c r="O55" s="17">
        <f>'Table 1 ED2 Detailed'!I55-I55</f>
        <v>0</v>
      </c>
      <c r="P55" s="105"/>
    </row>
    <row r="56" spans="1:16" x14ac:dyDescent="0.25">
      <c r="A56" s="16" t="s">
        <v>34</v>
      </c>
      <c r="B56" s="2" t="s">
        <v>6</v>
      </c>
      <c r="C56" s="2" t="s">
        <v>35</v>
      </c>
      <c r="D56" s="2"/>
      <c r="E56" s="3">
        <f>[10]InputSummary!AR88</f>
        <v>3.6200000000000003E-2</v>
      </c>
      <c r="F56" s="3">
        <f>[10]InputSummary!AS88</f>
        <v>3.6200000000000003E-2</v>
      </c>
      <c r="G56" s="3">
        <f>[10]InputSummary!AT88</f>
        <v>3.6200000000000003E-2</v>
      </c>
      <c r="H56" s="3">
        <f>[10]InputSummary!AU88</f>
        <v>3.6200000000000003E-2</v>
      </c>
      <c r="I56" s="17">
        <f>[10]InputSummary!AV88</f>
        <v>3.6200000000000003E-2</v>
      </c>
      <c r="J56" s="16"/>
      <c r="K56" s="3">
        <f>'Table 1 ED2 Detailed'!E56-E56</f>
        <v>-1.7771464768678188E-2</v>
      </c>
      <c r="L56" s="3">
        <f>'Table 1 ED2 Detailed'!F56-F56</f>
        <v>0</v>
      </c>
      <c r="M56" s="3">
        <f>'Table 1 ED2 Detailed'!G56-G56</f>
        <v>0</v>
      </c>
      <c r="N56" s="3">
        <f>'Table 1 ED2 Detailed'!H56-H56</f>
        <v>0</v>
      </c>
      <c r="O56" s="17">
        <f>'Table 1 ED2 Detailed'!I56-I56</f>
        <v>0</v>
      </c>
      <c r="P56" s="105"/>
    </row>
    <row r="57" spans="1:16" x14ac:dyDescent="0.25">
      <c r="A57" s="16" t="s">
        <v>36</v>
      </c>
      <c r="B57" s="2" t="s">
        <v>6</v>
      </c>
      <c r="C57" s="2" t="s">
        <v>37</v>
      </c>
      <c r="D57" s="2"/>
      <c r="E57" s="3">
        <f>[10]InputSummary!AR89</f>
        <v>11.460880226759036</v>
      </c>
      <c r="F57" s="3">
        <f>[10]InputSummary!AS89</f>
        <v>0.36177781223878441</v>
      </c>
      <c r="G57" s="3">
        <f>[10]InputSummary!AT89</f>
        <v>0</v>
      </c>
      <c r="H57" s="3">
        <f>[10]InputSummary!AU89</f>
        <v>0</v>
      </c>
      <c r="I57" s="17">
        <f>[10]InputSummary!AV89</f>
        <v>0</v>
      </c>
      <c r="J57" s="16"/>
      <c r="K57" s="3">
        <f>'Table 1 ED2 Detailed'!E57-E57</f>
        <v>7.6319872212726736E-2</v>
      </c>
      <c r="L57" s="3">
        <f>'Table 1 ED2 Detailed'!F57-F57</f>
        <v>0</v>
      </c>
      <c r="M57" s="3">
        <f>'Table 1 ED2 Detailed'!G57-G57</f>
        <v>0</v>
      </c>
      <c r="N57" s="3">
        <f>'Table 1 ED2 Detailed'!H57-H57</f>
        <v>0</v>
      </c>
      <c r="O57" s="17">
        <f>'Table 1 ED2 Detailed'!I57-I57</f>
        <v>0</v>
      </c>
      <c r="P57" s="105"/>
    </row>
    <row r="58" spans="1:16" x14ac:dyDescent="0.25">
      <c r="A58" s="16" t="s">
        <v>38</v>
      </c>
      <c r="B58" s="2" t="s">
        <v>6</v>
      </c>
      <c r="C58" s="2" t="s">
        <v>39</v>
      </c>
      <c r="D58" s="2"/>
      <c r="E58" s="3">
        <f>[10]InputSummary!AR90</f>
        <v>2.1002301594751024E-2</v>
      </c>
      <c r="F58" s="3">
        <f>[10]InputSummary!AS90</f>
        <v>6.8158594421151769E-2</v>
      </c>
      <c r="G58" s="3">
        <f>[10]InputSummary!AT90</f>
        <v>1.1114937287807588E-4</v>
      </c>
      <c r="H58" s="3">
        <f>[10]InputSummary!AU90</f>
        <v>0</v>
      </c>
      <c r="I58" s="17">
        <f>[10]InputSummary!AV90</f>
        <v>0</v>
      </c>
      <c r="J58" s="16"/>
      <c r="K58" s="3">
        <f>'Table 1 ED2 Detailed'!E58-E58</f>
        <v>1.5927911579224907E-4</v>
      </c>
      <c r="L58" s="3">
        <f>'Table 1 ED2 Detailed'!F58-F58</f>
        <v>0</v>
      </c>
      <c r="M58" s="3">
        <f>'Table 1 ED2 Detailed'!G58-G58</f>
        <v>0</v>
      </c>
      <c r="N58" s="3">
        <f>'Table 1 ED2 Detailed'!H58-H58</f>
        <v>0</v>
      </c>
      <c r="O58" s="17">
        <f>'Table 1 ED2 Detailed'!I58-I58</f>
        <v>0</v>
      </c>
      <c r="P58" s="105"/>
    </row>
    <row r="59" spans="1:16" x14ac:dyDescent="0.25">
      <c r="A59" s="16" t="s">
        <v>40</v>
      </c>
      <c r="B59" s="2" t="s">
        <v>6</v>
      </c>
      <c r="C59" s="2" t="s">
        <v>41</v>
      </c>
      <c r="D59" s="2"/>
      <c r="E59" s="3">
        <f>[10]InputSummary!AR91</f>
        <v>0</v>
      </c>
      <c r="F59" s="3">
        <f>[10]InputSummary!AS91</f>
        <v>0.5</v>
      </c>
      <c r="G59" s="3">
        <f>[10]InputSummary!AT91</f>
        <v>0.5</v>
      </c>
      <c r="H59" s="3">
        <f>[10]InputSummary!AU91</f>
        <v>0.5</v>
      </c>
      <c r="I59" s="17">
        <f>[10]InputSummary!AV91</f>
        <v>0.59999999999999987</v>
      </c>
      <c r="J59" s="16"/>
      <c r="K59" s="3">
        <f>'Table 1 ED2 Detailed'!E59-E59</f>
        <v>0</v>
      </c>
      <c r="L59" s="3">
        <f>'Table 1 ED2 Detailed'!F59-F59</f>
        <v>0</v>
      </c>
      <c r="M59" s="3">
        <f>'Table 1 ED2 Detailed'!G59-G59</f>
        <v>0</v>
      </c>
      <c r="N59" s="3">
        <f>'Table 1 ED2 Detailed'!H59-H59</f>
        <v>0</v>
      </c>
      <c r="O59" s="17">
        <f>'Table 1 ED2 Detailed'!I59-I59</f>
        <v>0</v>
      </c>
      <c r="P59" s="105"/>
    </row>
    <row r="60" spans="1:16" x14ac:dyDescent="0.25">
      <c r="A60" s="16" t="s">
        <v>42</v>
      </c>
      <c r="B60" s="2" t="s">
        <v>6</v>
      </c>
      <c r="C60" s="2" t="s">
        <v>43</v>
      </c>
      <c r="D60" s="2"/>
      <c r="E60" s="3">
        <f>[10]InputSummary!AR92</f>
        <v>0</v>
      </c>
      <c r="F60" s="3">
        <f>[10]InputSummary!AS92</f>
        <v>0</v>
      </c>
      <c r="G60" s="3">
        <f>[10]InputSummary!AT92</f>
        <v>0</v>
      </c>
      <c r="H60" s="3">
        <f>[10]InputSummary!AU92</f>
        <v>0</v>
      </c>
      <c r="I60" s="17">
        <f>[10]InputSummary!AV92</f>
        <v>0</v>
      </c>
      <c r="J60" s="16"/>
      <c r="K60" s="3">
        <f>'Table 1 ED2 Detailed'!E60-E60</f>
        <v>0</v>
      </c>
      <c r="L60" s="3">
        <f>'Table 1 ED2 Detailed'!F60-F60</f>
        <v>0</v>
      </c>
      <c r="M60" s="3">
        <f>'Table 1 ED2 Detailed'!G60-G60</f>
        <v>0</v>
      </c>
      <c r="N60" s="3">
        <f>'Table 1 ED2 Detailed'!H60-H60</f>
        <v>0</v>
      </c>
      <c r="O60" s="17">
        <f>'Table 1 ED2 Detailed'!I60-I60</f>
        <v>0</v>
      </c>
      <c r="P60" s="105"/>
    </row>
    <row r="61" spans="1:16" x14ac:dyDescent="0.25">
      <c r="A61" s="16" t="s">
        <v>44</v>
      </c>
      <c r="B61" s="2" t="s">
        <v>6</v>
      </c>
      <c r="C61" s="2" t="s">
        <v>45</v>
      </c>
      <c r="D61" s="2"/>
      <c r="E61" s="3">
        <f>[10]InputSummary!AR93</f>
        <v>0</v>
      </c>
      <c r="F61" s="3">
        <f>[10]InputSummary!AS93</f>
        <v>0</v>
      </c>
      <c r="G61" s="3">
        <f>[10]InputSummary!AT93</f>
        <v>0</v>
      </c>
      <c r="H61" s="3">
        <f>[10]InputSummary!AU93</f>
        <v>0</v>
      </c>
      <c r="I61" s="17">
        <f>[10]InputSummary!AV93</f>
        <v>0</v>
      </c>
      <c r="J61" s="16"/>
      <c r="K61" s="3">
        <f>'Table 1 ED2 Detailed'!E61-E61</f>
        <v>0</v>
      </c>
      <c r="L61" s="3">
        <f>'Table 1 ED2 Detailed'!F61-F61</f>
        <v>0</v>
      </c>
      <c r="M61" s="3">
        <f>'Table 1 ED2 Detailed'!G61-G61</f>
        <v>0</v>
      </c>
      <c r="N61" s="3">
        <f>'Table 1 ED2 Detailed'!H61-H61</f>
        <v>0</v>
      </c>
      <c r="O61" s="17">
        <f>'Table 1 ED2 Detailed'!I61-I61</f>
        <v>0</v>
      </c>
      <c r="P61" s="105"/>
    </row>
    <row r="62" spans="1:16" x14ac:dyDescent="0.25">
      <c r="A62" s="16" t="s">
        <v>46</v>
      </c>
      <c r="B62" s="2" t="s">
        <v>6</v>
      </c>
      <c r="C62" s="2" t="s">
        <v>47</v>
      </c>
      <c r="D62" s="2"/>
      <c r="E62" s="3">
        <f>[10]InputSummary!AR94</f>
        <v>0</v>
      </c>
      <c r="F62" s="3">
        <f>[10]InputSummary!AS94</f>
        <v>0</v>
      </c>
      <c r="G62" s="3">
        <f>[10]InputSummary!AT94</f>
        <v>0</v>
      </c>
      <c r="H62" s="3">
        <f>[10]InputSummary!AU94</f>
        <v>0</v>
      </c>
      <c r="I62" s="17">
        <f>[10]InputSummary!AV94</f>
        <v>0</v>
      </c>
      <c r="J62" s="16"/>
      <c r="K62" s="3">
        <f>'Table 1 ED2 Detailed'!E62-E62</f>
        <v>0</v>
      </c>
      <c r="L62" s="3">
        <f>'Table 1 ED2 Detailed'!F62-F62</f>
        <v>0</v>
      </c>
      <c r="M62" s="3">
        <f>'Table 1 ED2 Detailed'!G62-G62</f>
        <v>0</v>
      </c>
      <c r="N62" s="3">
        <f>'Table 1 ED2 Detailed'!H62-H62</f>
        <v>0</v>
      </c>
      <c r="O62" s="17">
        <f>'Table 1 ED2 Detailed'!I62-I62</f>
        <v>0</v>
      </c>
      <c r="P62" s="105"/>
    </row>
    <row r="63" spans="1:16" x14ac:dyDescent="0.25">
      <c r="A63" s="15" t="s">
        <v>48</v>
      </c>
      <c r="B63" s="1" t="s">
        <v>6</v>
      </c>
      <c r="C63" s="1" t="s">
        <v>23</v>
      </c>
      <c r="D63" s="1"/>
      <c r="E63" s="4">
        <f>SUM(E51:E61)-E62</f>
        <v>39.08697028932994</v>
      </c>
      <c r="F63" s="4">
        <f t="shared" ref="F63:I63" si="12">SUM(F51:F61)-F62</f>
        <v>32.416547931070838</v>
      </c>
      <c r="G63" s="4">
        <f t="shared" si="12"/>
        <v>32.731403162114916</v>
      </c>
      <c r="H63" s="4">
        <f t="shared" si="12"/>
        <v>32.680733370706186</v>
      </c>
      <c r="I63" s="18">
        <f t="shared" si="12"/>
        <v>33.063107312339085</v>
      </c>
      <c r="J63" s="15"/>
      <c r="K63" s="4">
        <f>'Table 1 ED2 Detailed'!E63-E63</f>
        <v>-0.17644562762669125</v>
      </c>
      <c r="L63" s="4">
        <f>'Table 1 ED2 Detailed'!F63-F63</f>
        <v>0</v>
      </c>
      <c r="M63" s="4">
        <f>'Table 1 ED2 Detailed'!G63-G63</f>
        <v>0</v>
      </c>
      <c r="N63" s="4">
        <f>'Table 1 ED2 Detailed'!H63-H63</f>
        <v>0</v>
      </c>
      <c r="O63" s="18">
        <f>'Table 1 ED2 Detailed'!I63-I63</f>
        <v>0</v>
      </c>
      <c r="P63" s="105"/>
    </row>
    <row r="64" spans="1:16" x14ac:dyDescent="0.25">
      <c r="A64" s="21" t="s">
        <v>49</v>
      </c>
      <c r="B64" s="7" t="s">
        <v>6</v>
      </c>
      <c r="C64" s="7"/>
      <c r="D64" s="7"/>
      <c r="E64" s="8">
        <f>E39+E43+E50+E63</f>
        <v>308.00685476575325</v>
      </c>
      <c r="F64" s="8">
        <f t="shared" ref="F64:I64" si="13">F39+F43+F50+F63</f>
        <v>310.31446388635106</v>
      </c>
      <c r="G64" s="8">
        <f t="shared" si="13"/>
        <v>320.4316527789365</v>
      </c>
      <c r="H64" s="8">
        <f t="shared" si="13"/>
        <v>322.38787749694836</v>
      </c>
      <c r="I64" s="22">
        <f t="shared" si="13"/>
        <v>324.09252245760086</v>
      </c>
      <c r="J64" s="21"/>
      <c r="K64" s="8">
        <f>'Table 1 ED2 Detailed'!E64-E64</f>
        <v>-4.5495748289382618</v>
      </c>
      <c r="L64" s="8">
        <f>'Table 1 ED2 Detailed'!F64-F64</f>
        <v>-0.89621260377384715</v>
      </c>
      <c r="M64" s="8">
        <f>'Table 1 ED2 Detailed'!G64-G64</f>
        <v>-0.88432525979118282</v>
      </c>
      <c r="N64" s="8">
        <f>'Table 1 ED2 Detailed'!H64-H64</f>
        <v>-0.87288410815028783</v>
      </c>
      <c r="O64" s="22">
        <f>'Table 1 ED2 Detailed'!I64-I64</f>
        <v>-0.86225821555069615</v>
      </c>
      <c r="P64" s="105"/>
    </row>
    <row r="65" spans="1:16" x14ac:dyDescent="0.25">
      <c r="A65" s="16" t="s">
        <v>133</v>
      </c>
      <c r="B65" s="2" t="s">
        <v>6</v>
      </c>
      <c r="C65" s="2" t="s">
        <v>134</v>
      </c>
      <c r="D65" s="2"/>
      <c r="E65" s="3">
        <f>[10]InputSummary!AR101</f>
        <v>0.25358599999999987</v>
      </c>
      <c r="F65" s="3">
        <f>[10]InputSummary!AS101</f>
        <v>0.26</v>
      </c>
      <c r="G65" s="3">
        <f>[10]InputSummary!AT101</f>
        <v>0.26</v>
      </c>
      <c r="H65" s="3">
        <f>[10]InputSummary!AU101</f>
        <v>0.26</v>
      </c>
      <c r="I65" s="17">
        <f>[10]InputSummary!AV101</f>
        <v>0.26</v>
      </c>
      <c r="J65" s="16"/>
      <c r="K65" s="3">
        <f>'Table 1 ED2 Detailed'!E65-E65</f>
        <v>-3.7770000000000303E-3</v>
      </c>
      <c r="L65" s="3">
        <f>'Table 1 ED2 Detailed'!F65-F65</f>
        <v>2.1493989609021602E-3</v>
      </c>
      <c r="M65" s="3">
        <f>'Table 1 ED2 Detailed'!G65-G65</f>
        <v>1.3072290584273116E-2</v>
      </c>
      <c r="N65" s="3">
        <f>'Table 1 ED2 Detailed'!H65-H65</f>
        <v>2.3995182207644017E-2</v>
      </c>
      <c r="O65" s="17">
        <f>'Table 1 ED2 Detailed'!I65-I65</f>
        <v>3.4918073831014973E-2</v>
      </c>
      <c r="P65" s="105"/>
    </row>
    <row r="66" spans="1:16" x14ac:dyDescent="0.25">
      <c r="A66" s="16" t="s">
        <v>135</v>
      </c>
      <c r="B66" s="2" t="s">
        <v>6</v>
      </c>
      <c r="C66" s="2" t="s">
        <v>136</v>
      </c>
      <c r="D66" s="2"/>
      <c r="E66" s="3">
        <f>[10]InputSummary!AR102</f>
        <v>-0.57838000000000633</v>
      </c>
      <c r="F66" s="3">
        <f>[10]InputSummary!AS102</f>
        <v>0</v>
      </c>
      <c r="G66" s="3">
        <f>[10]InputSummary!AT102</f>
        <v>0</v>
      </c>
      <c r="H66" s="3">
        <f>[10]InputSummary!AU102</f>
        <v>0</v>
      </c>
      <c r="I66" s="17">
        <f>[10]InputSummary!AV102</f>
        <v>0</v>
      </c>
      <c r="J66" s="16"/>
      <c r="K66" s="3">
        <f>'Table 1 ED2 Detailed'!E66-E66</f>
        <v>-4.120869572772845E-2</v>
      </c>
      <c r="L66" s="3">
        <f>'Table 1 ED2 Detailed'!F66-F66</f>
        <v>-0.47560104795193203</v>
      </c>
      <c r="M66" s="3">
        <f>'Table 1 ED2 Detailed'!G66-G66</f>
        <v>-0.45060104795193201</v>
      </c>
      <c r="N66" s="3">
        <f>'Table 1 ED2 Detailed'!H66-H66</f>
        <v>-0.42560104795193204</v>
      </c>
      <c r="O66" s="17">
        <f>'Table 1 ED2 Detailed'!I66-I66</f>
        <v>-0.40060104795193202</v>
      </c>
      <c r="P66" s="105"/>
    </row>
    <row r="67" spans="1:16" x14ac:dyDescent="0.25">
      <c r="A67" s="16" t="s">
        <v>137</v>
      </c>
      <c r="B67" s="2" t="s">
        <v>6</v>
      </c>
      <c r="C67" s="2" t="s">
        <v>138</v>
      </c>
      <c r="D67" s="2"/>
      <c r="E67" s="3">
        <f>[10]InputSummary!AR103</f>
        <v>-3.0196670621719353</v>
      </c>
      <c r="F67" s="3">
        <f>[10]InputSummary!AS103</f>
        <v>0.22</v>
      </c>
      <c r="G67" s="3">
        <f>[10]InputSummary!AT103</f>
        <v>0.14000000000000001</v>
      </c>
      <c r="H67" s="3">
        <f>[10]InputSummary!AU103</f>
        <v>7.0000000000000007E-2</v>
      </c>
      <c r="I67" s="17">
        <f>[10]InputSummary!AV103</f>
        <v>0</v>
      </c>
      <c r="J67" s="16"/>
      <c r="K67" s="3">
        <f>'Table 1 ED2 Detailed'!E67-E67</f>
        <v>7.8377985505663883E-2</v>
      </c>
      <c r="L67" s="3">
        <f>'Table 1 ED2 Detailed'!F67-F67</f>
        <v>-0.22</v>
      </c>
      <c r="M67" s="3">
        <f>'Table 1 ED2 Detailed'!G67-G67</f>
        <v>-0.14000000000000001</v>
      </c>
      <c r="N67" s="3">
        <f>'Table 1 ED2 Detailed'!H67-H67</f>
        <v>-7.0000000000000007E-2</v>
      </c>
      <c r="O67" s="17">
        <f>'Table 1 ED2 Detailed'!I67-I67</f>
        <v>0</v>
      </c>
      <c r="P67" s="105"/>
    </row>
    <row r="68" spans="1:16" x14ac:dyDescent="0.25">
      <c r="A68" s="16" t="s">
        <v>139</v>
      </c>
      <c r="B68" s="2" t="s">
        <v>6</v>
      </c>
      <c r="C68" s="2" t="s">
        <v>140</v>
      </c>
      <c r="D68" s="2"/>
      <c r="E68" s="3">
        <f>[10]InputSummary!AR104</f>
        <v>0</v>
      </c>
      <c r="F68" s="3">
        <f>[10]InputSummary!AS104</f>
        <v>0</v>
      </c>
      <c r="G68" s="3">
        <f>[10]InputSummary!AT104</f>
        <v>0</v>
      </c>
      <c r="H68" s="3">
        <f>[10]InputSummary!AU104</f>
        <v>0</v>
      </c>
      <c r="I68" s="17">
        <f>[10]InputSummary!AV104</f>
        <v>0</v>
      </c>
      <c r="J68" s="16"/>
      <c r="K68" s="3">
        <f>'Table 1 ED2 Detailed'!E68-E68</f>
        <v>0</v>
      </c>
      <c r="L68" s="3">
        <f>'Table 1 ED2 Detailed'!F68-F68</f>
        <v>0</v>
      </c>
      <c r="M68" s="3">
        <f>'Table 1 ED2 Detailed'!G68-G68</f>
        <v>0</v>
      </c>
      <c r="N68" s="3">
        <f>'Table 1 ED2 Detailed'!H68-H68</f>
        <v>0</v>
      </c>
      <c r="O68" s="17">
        <f>'Table 1 ED2 Detailed'!I68-I68</f>
        <v>0</v>
      </c>
      <c r="P68" s="105"/>
    </row>
    <row r="69" spans="1:16" x14ac:dyDescent="0.25">
      <c r="A69" s="16" t="s">
        <v>141</v>
      </c>
      <c r="B69" s="2" t="s">
        <v>6</v>
      </c>
      <c r="C69" s="2" t="s">
        <v>142</v>
      </c>
      <c r="D69" s="2"/>
      <c r="E69" s="3">
        <f>[10]InputSummary!AR105</f>
        <v>0</v>
      </c>
      <c r="F69" s="3">
        <f>[10]InputSummary!AS105</f>
        <v>0</v>
      </c>
      <c r="G69" s="3">
        <f>[10]InputSummary!AT105</f>
        <v>0</v>
      </c>
      <c r="H69" s="3">
        <f>[10]InputSummary!AU105</f>
        <v>0</v>
      </c>
      <c r="I69" s="17">
        <f>[10]InputSummary!AV105</f>
        <v>0</v>
      </c>
      <c r="J69" s="16"/>
      <c r="K69" s="3">
        <f>'Table 1 ED2 Detailed'!E69-E69</f>
        <v>0</v>
      </c>
      <c r="L69" s="3">
        <f>'Table 1 ED2 Detailed'!F69-F69</f>
        <v>0</v>
      </c>
      <c r="M69" s="3">
        <f>'Table 1 ED2 Detailed'!G69-G69</f>
        <v>0</v>
      </c>
      <c r="N69" s="3">
        <f>'Table 1 ED2 Detailed'!H69-H69</f>
        <v>0</v>
      </c>
      <c r="O69" s="17">
        <f>'Table 1 ED2 Detailed'!I69-I69</f>
        <v>0</v>
      </c>
      <c r="P69" s="105"/>
    </row>
    <row r="70" spans="1:16" x14ac:dyDescent="0.25">
      <c r="A70" s="16" t="s">
        <v>143</v>
      </c>
      <c r="B70" s="2" t="s">
        <v>6</v>
      </c>
      <c r="C70" s="2" t="s">
        <v>144</v>
      </c>
      <c r="D70" s="2"/>
      <c r="E70" s="3">
        <f>[10]InputSummary!AR106</f>
        <v>0.39</v>
      </c>
      <c r="F70" s="3">
        <f>[10]InputSummary!AS106</f>
        <v>0.39</v>
      </c>
      <c r="G70" s="3">
        <f>[10]InputSummary!AT106</f>
        <v>0.39</v>
      </c>
      <c r="H70" s="3">
        <f>[10]InputSummary!AU106</f>
        <v>0.39</v>
      </c>
      <c r="I70" s="17">
        <f>[10]InputSummary!AV106</f>
        <v>0.39</v>
      </c>
      <c r="J70" s="16"/>
      <c r="K70" s="3">
        <f>'Table 1 ED2 Detailed'!E70-E70</f>
        <v>1.0089999999999999</v>
      </c>
      <c r="L70" s="3">
        <f>'Table 1 ED2 Detailed'!F70-F70</f>
        <v>0</v>
      </c>
      <c r="M70" s="3">
        <f>'Table 1 ED2 Detailed'!G70-G70</f>
        <v>0</v>
      </c>
      <c r="N70" s="3">
        <f>'Table 1 ED2 Detailed'!H70-H70</f>
        <v>0</v>
      </c>
      <c r="O70" s="17">
        <f>'Table 1 ED2 Detailed'!I70-I70</f>
        <v>0</v>
      </c>
      <c r="P70" s="105"/>
    </row>
    <row r="71" spans="1:16" x14ac:dyDescent="0.25">
      <c r="A71" s="16" t="s">
        <v>145</v>
      </c>
      <c r="B71" s="2" t="s">
        <v>6</v>
      </c>
      <c r="C71" s="2" t="s">
        <v>146</v>
      </c>
      <c r="D71" s="2"/>
      <c r="E71" s="3">
        <f>[10]InputSummary!AR107</f>
        <v>0</v>
      </c>
      <c r="F71" s="3">
        <f>[10]InputSummary!AS107</f>
        <v>0</v>
      </c>
      <c r="G71" s="3">
        <f>[10]InputSummary!AT107</f>
        <v>0</v>
      </c>
      <c r="H71" s="3">
        <f>[10]InputSummary!AU107</f>
        <v>0</v>
      </c>
      <c r="I71" s="17">
        <f>[10]InputSummary!AV107</f>
        <v>0</v>
      </c>
      <c r="J71" s="16"/>
      <c r="K71" s="3">
        <f>'Table 1 ED2 Detailed'!E71-E71</f>
        <v>0</v>
      </c>
      <c r="L71" s="3">
        <f>'Table 1 ED2 Detailed'!F71-F71</f>
        <v>0</v>
      </c>
      <c r="M71" s="3">
        <f>'Table 1 ED2 Detailed'!G71-G71</f>
        <v>0</v>
      </c>
      <c r="N71" s="3">
        <f>'Table 1 ED2 Detailed'!H71-H71</f>
        <v>0</v>
      </c>
      <c r="O71" s="17">
        <f>'Table 1 ED2 Detailed'!I71-I71</f>
        <v>0</v>
      </c>
      <c r="P71" s="105"/>
    </row>
    <row r="72" spans="1:16" x14ac:dyDescent="0.25">
      <c r="A72" s="16" t="s">
        <v>147</v>
      </c>
      <c r="B72" s="2" t="s">
        <v>6</v>
      </c>
      <c r="C72" s="2" t="s">
        <v>148</v>
      </c>
      <c r="D72" s="2"/>
      <c r="E72" s="3">
        <f>[10]InputSummary!AR108</f>
        <v>0</v>
      </c>
      <c r="F72" s="3">
        <f>[10]InputSummary!AS108</f>
        <v>0</v>
      </c>
      <c r="G72" s="3">
        <f>[10]InputSummary!AT108</f>
        <v>0</v>
      </c>
      <c r="H72" s="3">
        <f>[10]InputSummary!AU108</f>
        <v>0</v>
      </c>
      <c r="I72" s="17">
        <f>[10]InputSummary!AV108</f>
        <v>0</v>
      </c>
      <c r="J72" s="16"/>
      <c r="K72" s="3">
        <f>'Table 1 ED2 Detailed'!E72-E72</f>
        <v>0</v>
      </c>
      <c r="L72" s="3">
        <f>'Table 1 ED2 Detailed'!F72-F72</f>
        <v>0</v>
      </c>
      <c r="M72" s="3">
        <f>'Table 1 ED2 Detailed'!G72-G72</f>
        <v>0</v>
      </c>
      <c r="N72" s="3">
        <f>'Table 1 ED2 Detailed'!H72-H72</f>
        <v>0</v>
      </c>
      <c r="O72" s="17">
        <f>'Table 1 ED2 Detailed'!I72-I72</f>
        <v>0</v>
      </c>
      <c r="P72" s="105"/>
    </row>
    <row r="73" spans="1:16" x14ac:dyDescent="0.25">
      <c r="A73" s="15" t="s">
        <v>56</v>
      </c>
      <c r="B73" s="1" t="s">
        <v>6</v>
      </c>
      <c r="C73" s="1" t="s">
        <v>57</v>
      </c>
      <c r="D73" s="1"/>
      <c r="E73" s="4">
        <f>SUM(E65:E72)</f>
        <v>-2.9544610621719416</v>
      </c>
      <c r="F73" s="4">
        <f t="shared" ref="F73:I73" si="14">SUM(F65:F72)</f>
        <v>0.87</v>
      </c>
      <c r="G73" s="4">
        <f t="shared" si="14"/>
        <v>0.79</v>
      </c>
      <c r="H73" s="4">
        <f t="shared" si="14"/>
        <v>0.72</v>
      </c>
      <c r="I73" s="18">
        <f t="shared" si="14"/>
        <v>0.65</v>
      </c>
      <c r="J73" s="15"/>
      <c r="K73" s="4">
        <f>'Table 1 ED2 Detailed'!E73-E73</f>
        <v>1.0423922897779354</v>
      </c>
      <c r="L73" s="4">
        <f>'Table 1 ED2 Detailed'!F73-F73</f>
        <v>-0.69345164899102985</v>
      </c>
      <c r="M73" s="4">
        <f>'Table 1 ED2 Detailed'!G73-G73</f>
        <v>-0.57752875736765885</v>
      </c>
      <c r="N73" s="4">
        <f>'Table 1 ED2 Detailed'!H73-H73</f>
        <v>-0.47160586574428798</v>
      </c>
      <c r="O73" s="18">
        <f>'Table 1 ED2 Detailed'!I73-I73</f>
        <v>-0.36568297412091705</v>
      </c>
      <c r="P73" s="105"/>
    </row>
    <row r="74" spans="1:16" x14ac:dyDescent="0.25">
      <c r="A74" s="16" t="s">
        <v>50</v>
      </c>
      <c r="B74" s="2" t="s">
        <v>6</v>
      </c>
      <c r="C74" s="2" t="s">
        <v>51</v>
      </c>
      <c r="D74" s="2"/>
      <c r="E74" s="3">
        <f>[10]Revenue!AR13</f>
        <v>0</v>
      </c>
      <c r="F74" s="3">
        <f>[10]Revenue!AS13</f>
        <v>0</v>
      </c>
      <c r="G74" s="3">
        <f>[10]Revenue!AT13</f>
        <v>0</v>
      </c>
      <c r="H74" s="3">
        <f>[10]Revenue!AU13</f>
        <v>0</v>
      </c>
      <c r="I74" s="17">
        <f>[10]Revenue!AV13</f>
        <v>0</v>
      </c>
      <c r="J74" s="16"/>
      <c r="K74" s="3">
        <f>'Table 1 ED2 Detailed'!E74-E74</f>
        <v>0</v>
      </c>
      <c r="L74" s="3">
        <f>'Table 1 ED2 Detailed'!F74-F74</f>
        <v>0</v>
      </c>
      <c r="M74" s="3">
        <f>'Table 1 ED2 Detailed'!G74-G74</f>
        <v>0</v>
      </c>
      <c r="N74" s="3">
        <f>'Table 1 ED2 Detailed'!H74-H74</f>
        <v>0</v>
      </c>
      <c r="O74" s="17">
        <f>'Table 1 ED2 Detailed'!I74-I74</f>
        <v>0</v>
      </c>
      <c r="P74" s="105"/>
    </row>
    <row r="75" spans="1:16" x14ac:dyDescent="0.25">
      <c r="A75" s="16" t="s">
        <v>52</v>
      </c>
      <c r="B75" s="2" t="s">
        <v>6</v>
      </c>
      <c r="C75" s="2" t="s">
        <v>53</v>
      </c>
      <c r="D75" s="2"/>
      <c r="E75" s="3">
        <f>[10]Revenue!AR14</f>
        <v>4.5444014907725929</v>
      </c>
      <c r="F75" s="3">
        <f>[10]Revenue!AS14</f>
        <v>0</v>
      </c>
      <c r="G75" s="3">
        <f>[10]Revenue!AT14</f>
        <v>0</v>
      </c>
      <c r="H75" s="3">
        <f>[10]Revenue!AU14</f>
        <v>0</v>
      </c>
      <c r="I75" s="17">
        <f>[10]Revenue!AV14</f>
        <v>0</v>
      </c>
      <c r="J75" s="16"/>
      <c r="K75" s="3">
        <f>'Table 1 ED2 Detailed'!E75-E75</f>
        <v>3.0262153859360374E-2</v>
      </c>
      <c r="L75" s="3">
        <f>'Table 1 ED2 Detailed'!F75-F75</f>
        <v>0</v>
      </c>
      <c r="M75" s="3">
        <f>'Table 1 ED2 Detailed'!G75-G75</f>
        <v>0</v>
      </c>
      <c r="N75" s="3">
        <f>'Table 1 ED2 Detailed'!H75-H75</f>
        <v>0</v>
      </c>
      <c r="O75" s="17">
        <f>'Table 1 ED2 Detailed'!I75-I75</f>
        <v>0</v>
      </c>
      <c r="P75" s="105"/>
    </row>
    <row r="76" spans="1:16" x14ac:dyDescent="0.25">
      <c r="A76" s="16" t="s">
        <v>54</v>
      </c>
      <c r="B76" s="2" t="s">
        <v>6</v>
      </c>
      <c r="C76" s="2" t="s">
        <v>55</v>
      </c>
      <c r="D76" s="2"/>
      <c r="E76" s="3">
        <f>[10]Revenue!AR15</f>
        <v>1.1499999999999999</v>
      </c>
      <c r="F76" s="3">
        <f>[10]Revenue!AS15</f>
        <v>0</v>
      </c>
      <c r="G76" s="3">
        <f>[10]Revenue!AT15</f>
        <v>0</v>
      </c>
      <c r="H76" s="3">
        <f>[10]Revenue!AU15</f>
        <v>0</v>
      </c>
      <c r="I76" s="17">
        <f>[10]Revenue!AV15</f>
        <v>0</v>
      </c>
      <c r="J76" s="16"/>
      <c r="K76" s="3">
        <f>'Table 1 ED2 Detailed'!E76-E76</f>
        <v>0</v>
      </c>
      <c r="L76" s="3">
        <f>'Table 1 ED2 Detailed'!F76-F76</f>
        <v>0</v>
      </c>
      <c r="M76" s="3">
        <f>'Table 1 ED2 Detailed'!G76-G76</f>
        <v>0</v>
      </c>
      <c r="N76" s="3">
        <f>'Table 1 ED2 Detailed'!H76-H76</f>
        <v>0</v>
      </c>
      <c r="O76" s="17">
        <f>'Table 1 ED2 Detailed'!I76-I76</f>
        <v>0</v>
      </c>
      <c r="P76" s="105"/>
    </row>
    <row r="77" spans="1:16" x14ac:dyDescent="0.25">
      <c r="A77" s="16" t="s">
        <v>58</v>
      </c>
      <c r="B77" s="2" t="s">
        <v>6</v>
      </c>
      <c r="C77" s="2" t="s">
        <v>59</v>
      </c>
      <c r="D77" s="2"/>
      <c r="E77" s="3">
        <f>[10]Revenue!AR17</f>
        <v>0.80757551724244026</v>
      </c>
      <c r="F77" s="3">
        <f>[10]Revenue!AS17</f>
        <v>0.80757551724244026</v>
      </c>
      <c r="G77" s="3">
        <f>[10]Revenue!AT17</f>
        <v>0.80757551724244026</v>
      </c>
      <c r="H77" s="3">
        <f>[10]Revenue!AU17</f>
        <v>0.80757551724244026</v>
      </c>
      <c r="I77" s="17">
        <f>[10]Revenue!AV17</f>
        <v>0.76969793103023898</v>
      </c>
      <c r="J77" s="16"/>
      <c r="K77" s="3">
        <f>'Table 1 ED2 Detailed'!E77-E77</f>
        <v>-0.40192909851502256</v>
      </c>
      <c r="L77" s="3">
        <f>'Table 1 ED2 Detailed'!F77-F77</f>
        <v>-0.40192909851502256</v>
      </c>
      <c r="M77" s="3">
        <f>'Table 1 ED2 Detailed'!G77-G77</f>
        <v>-0.40192909851502256</v>
      </c>
      <c r="N77" s="3">
        <f>'Table 1 ED2 Detailed'!H77-H77</f>
        <v>-0.40192909851502256</v>
      </c>
      <c r="O77" s="17">
        <f>'Table 1 ED2 Detailed'!I77-I77</f>
        <v>-0.36405151230282129</v>
      </c>
      <c r="P77" s="105"/>
    </row>
    <row r="78" spans="1:16" x14ac:dyDescent="0.25">
      <c r="A78" s="16" t="s">
        <v>60</v>
      </c>
      <c r="B78" s="2" t="s">
        <v>6</v>
      </c>
      <c r="C78" s="2" t="s">
        <v>61</v>
      </c>
      <c r="D78" s="2"/>
      <c r="E78" s="3">
        <f>[10]Revenue!AR18</f>
        <v>0</v>
      </c>
      <c r="F78" s="3">
        <f>[10]Revenue!AS18</f>
        <v>0</v>
      </c>
      <c r="G78" s="3">
        <f>[10]Revenue!AT18</f>
        <v>0</v>
      </c>
      <c r="H78" s="3">
        <f>[10]Revenue!AU18</f>
        <v>0</v>
      </c>
      <c r="I78" s="17">
        <f>[10]Revenue!AV18</f>
        <v>0</v>
      </c>
      <c r="J78" s="16"/>
      <c r="K78" s="3">
        <f>'Table 1 ED2 Detailed'!E78-E78</f>
        <v>3.6388548380491381E-2</v>
      </c>
      <c r="L78" s="3">
        <f>'Table 1 ED2 Detailed'!F78-F78</f>
        <v>0</v>
      </c>
      <c r="M78" s="3">
        <f>'Table 1 ED2 Detailed'!G78-G78</f>
        <v>0</v>
      </c>
      <c r="N78" s="3">
        <f>'Table 1 ED2 Detailed'!H78-H78</f>
        <v>0</v>
      </c>
      <c r="O78" s="17">
        <f>'Table 1 ED2 Detailed'!I78-I78</f>
        <v>0</v>
      </c>
      <c r="P78" s="105"/>
    </row>
    <row r="79" spans="1:16" x14ac:dyDescent="0.25">
      <c r="A79" s="21" t="s">
        <v>62</v>
      </c>
      <c r="B79" s="7" t="s">
        <v>6</v>
      </c>
      <c r="C79" s="7"/>
      <c r="D79" s="7"/>
      <c r="E79" s="8">
        <f>SUM(E64:E78)-E73</f>
        <v>311.55437071159628</v>
      </c>
      <c r="F79" s="8">
        <f t="shared" ref="F79:I79" si="15">SUM(F64:F78)-F73</f>
        <v>311.99203940359348</v>
      </c>
      <c r="G79" s="8">
        <f t="shared" si="15"/>
        <v>322.02922829617887</v>
      </c>
      <c r="H79" s="8">
        <f t="shared" si="15"/>
        <v>323.91545301419075</v>
      </c>
      <c r="I79" s="22">
        <f t="shared" si="15"/>
        <v>325.51222038863108</v>
      </c>
      <c r="J79" s="21"/>
      <c r="K79" s="8">
        <f>'Table 1 ED2 Detailed'!E79-E79</f>
        <v>-3.8424609354354402</v>
      </c>
      <c r="L79" s="8">
        <f>'Table 1 ED2 Detailed'!F79-F79</f>
        <v>-1.9915933512799029</v>
      </c>
      <c r="M79" s="8">
        <f>'Table 1 ED2 Detailed'!G79-G79</f>
        <v>-1.8637831156738116</v>
      </c>
      <c r="N79" s="8">
        <f>'Table 1 ED2 Detailed'!H79-H79</f>
        <v>-1.7464190724095374</v>
      </c>
      <c r="O79" s="22">
        <f>'Table 1 ED2 Detailed'!I79-I79</f>
        <v>-1.5919927019743909</v>
      </c>
      <c r="P79" s="105"/>
    </row>
    <row r="80" spans="1:16" x14ac:dyDescent="0.25">
      <c r="A80" s="16" t="s">
        <v>63</v>
      </c>
      <c r="B80" s="2" t="s">
        <v>6</v>
      </c>
      <c r="C80" s="2" t="s">
        <v>64</v>
      </c>
      <c r="D80" s="2"/>
      <c r="E80" s="3">
        <f>[10]Revenue!AR20</f>
        <v>4.0786295518901587</v>
      </c>
      <c r="F80" s="3">
        <f>[10]Revenue!AS20</f>
        <v>3.9858854788293363</v>
      </c>
      <c r="G80" s="3">
        <f>[10]Revenue!AT20</f>
        <v>2.3450898511770832</v>
      </c>
      <c r="H80" s="3">
        <f>[10]Revenue!AU20</f>
        <v>6.0151570468238509</v>
      </c>
      <c r="I80" s="17">
        <f>[10]Revenue!AV20</f>
        <v>6.9464517848000895</v>
      </c>
      <c r="J80" s="16"/>
      <c r="K80" s="3">
        <f>'Table 1 ED2 Detailed'!E80-E80</f>
        <v>1.4197687682950137</v>
      </c>
      <c r="L80" s="3">
        <f>'Table 1 ED2 Detailed'!F80-F80</f>
        <v>0.83533045552622864</v>
      </c>
      <c r="M80" s="3">
        <f>'Table 1 ED2 Detailed'!G80-G80</f>
        <v>0.62914972985612438</v>
      </c>
      <c r="N80" s="3">
        <f>'Table 1 ED2 Detailed'!H80-H80</f>
        <v>0.58536925274269347</v>
      </c>
      <c r="O80" s="17">
        <f>'Table 1 ED2 Detailed'!I80-I80</f>
        <v>0.56084403312054221</v>
      </c>
      <c r="P80" s="105"/>
    </row>
    <row r="81" spans="1:16" x14ac:dyDescent="0.25">
      <c r="A81" s="16" t="s">
        <v>65</v>
      </c>
      <c r="B81" s="2" t="s">
        <v>6</v>
      </c>
      <c r="C81" s="2" t="s">
        <v>66</v>
      </c>
      <c r="D81" s="2"/>
      <c r="E81" s="3">
        <f>[10]Revenue!AR21</f>
        <v>0</v>
      </c>
      <c r="F81" s="3">
        <f>[10]Revenue!AS21</f>
        <v>0</v>
      </c>
      <c r="G81" s="3">
        <f>[10]Revenue!AT21</f>
        <v>0</v>
      </c>
      <c r="H81" s="3">
        <f>[10]Revenue!AU21</f>
        <v>0</v>
      </c>
      <c r="I81" s="17">
        <f>[10]Revenue!AV21</f>
        <v>0</v>
      </c>
      <c r="J81" s="16"/>
      <c r="K81" s="3">
        <f>'Table 1 ED2 Detailed'!E81-E81</f>
        <v>0</v>
      </c>
      <c r="L81" s="3">
        <f>'Table 1 ED2 Detailed'!F81-F81</f>
        <v>0</v>
      </c>
      <c r="M81" s="3">
        <f>'Table 1 ED2 Detailed'!G81-G81</f>
        <v>0</v>
      </c>
      <c r="N81" s="3">
        <f>'Table 1 ED2 Detailed'!H81-H81</f>
        <v>0</v>
      </c>
      <c r="O81" s="17">
        <f>'Table 1 ED2 Detailed'!I81-I81</f>
        <v>0</v>
      </c>
      <c r="P81" s="105"/>
    </row>
    <row r="82" spans="1:16" ht="15.75" thickBot="1" x14ac:dyDescent="0.3">
      <c r="A82" s="55" t="s">
        <v>67</v>
      </c>
      <c r="B82" s="56" t="s">
        <v>6</v>
      </c>
      <c r="C82" s="56"/>
      <c r="D82" s="56"/>
      <c r="E82" s="57">
        <f>SUM(E79:E81)</f>
        <v>315.63300026348645</v>
      </c>
      <c r="F82" s="57">
        <f t="shared" ref="F82:I82" si="16">SUM(F79:F81)</f>
        <v>315.97792488242283</v>
      </c>
      <c r="G82" s="57">
        <f t="shared" si="16"/>
        <v>324.37431814735595</v>
      </c>
      <c r="H82" s="57">
        <f t="shared" si="16"/>
        <v>329.93061006101459</v>
      </c>
      <c r="I82" s="58">
        <f t="shared" si="16"/>
        <v>332.45867217343118</v>
      </c>
      <c r="J82" s="55"/>
      <c r="K82" s="57">
        <f>'Table 1 ED2 Detailed'!E82-E82</f>
        <v>-2.4226921671404398</v>
      </c>
      <c r="L82" s="57">
        <f>'Table 1 ED2 Detailed'!F82-F82</f>
        <v>-1.1562628957536845</v>
      </c>
      <c r="M82" s="57">
        <f>'Table 1 ED2 Detailed'!G82-G82</f>
        <v>-1.2346333858176877</v>
      </c>
      <c r="N82" s="57">
        <f>'Table 1 ED2 Detailed'!H82-H82</f>
        <v>-1.1610498196668573</v>
      </c>
      <c r="O82" s="58">
        <f>'Table 1 ED2 Detailed'!I82-I82</f>
        <v>-1.0311486688538594</v>
      </c>
      <c r="P82" s="105"/>
    </row>
    <row r="83" spans="1:16" x14ac:dyDescent="0.25">
      <c r="A83" s="30" t="s">
        <v>95</v>
      </c>
      <c r="B83" s="31" t="s">
        <v>94</v>
      </c>
      <c r="C83" s="31" t="s">
        <v>93</v>
      </c>
      <c r="D83" s="31" t="s">
        <v>0</v>
      </c>
      <c r="E83" s="31" t="s">
        <v>1</v>
      </c>
      <c r="F83" s="31" t="s">
        <v>2</v>
      </c>
      <c r="G83" s="31" t="s">
        <v>3</v>
      </c>
      <c r="H83" s="31" t="s">
        <v>4</v>
      </c>
      <c r="I83" s="32" t="s">
        <v>70</v>
      </c>
      <c r="J83" s="30" t="s">
        <v>0</v>
      </c>
      <c r="K83" s="31" t="s">
        <v>1</v>
      </c>
      <c r="L83" s="31" t="s">
        <v>2</v>
      </c>
      <c r="M83" s="31" t="s">
        <v>3</v>
      </c>
      <c r="N83" s="31" t="s">
        <v>4</v>
      </c>
      <c r="O83" s="32" t="s">
        <v>70</v>
      </c>
      <c r="P83" s="105"/>
    </row>
    <row r="84" spans="1:16" x14ac:dyDescent="0.25">
      <c r="A84" s="23" t="s">
        <v>68</v>
      </c>
      <c r="B84" s="9">
        <f>[10]AR!AO16</f>
        <v>1</v>
      </c>
      <c r="C84" s="9">
        <f>[10]AR!AP16</f>
        <v>1.0577620396600564</v>
      </c>
      <c r="D84" s="9">
        <f>[10]AR!AQ16</f>
        <v>1.1939376770538244</v>
      </c>
      <c r="E84" s="9">
        <f>[10]AR!AR16</f>
        <v>1.2891506141768156</v>
      </c>
      <c r="F84" s="9">
        <f>[10]AR!AS16</f>
        <v>1.3284361388165782</v>
      </c>
      <c r="G84" s="9">
        <f>[10]AR!AT16</f>
        <v>1.3511547218960771</v>
      </c>
      <c r="H84" s="9">
        <f>[10]AR!AU16</f>
        <v>1.3719916643626167</v>
      </c>
      <c r="I84" s="24">
        <f>[10]AR!AV16</f>
        <v>1.3966351746111914</v>
      </c>
      <c r="J84" s="107"/>
      <c r="K84" s="9">
        <f>'Table 1 ED2 Detailed'!E84-E84</f>
        <v>-8.5279437494572008E-3</v>
      </c>
      <c r="L84" s="9">
        <f>'Table 1 ED2 Detailed'!F84-F84</f>
        <v>-1.0570368719388323E-2</v>
      </c>
      <c r="M84" s="9">
        <f>'Table 1 ED2 Detailed'!G84-G84</f>
        <v>-1.0815266210577379E-2</v>
      </c>
      <c r="N84" s="9">
        <f>'Table 1 ED2 Detailed'!H84-H84</f>
        <v>-1.0982054718316814E-2</v>
      </c>
      <c r="O84" s="24">
        <f>'Table 1 ED2 Detailed'!I84-I84</f>
        <v>-1.1179312752043202E-2</v>
      </c>
      <c r="P84" s="105"/>
    </row>
    <row r="85" spans="1:16" ht="15.75" thickBot="1" x14ac:dyDescent="0.3">
      <c r="A85" s="59" t="s">
        <v>69</v>
      </c>
      <c r="B85" s="60">
        <f>[10]AR!AO17</f>
        <v>294.16666666666669</v>
      </c>
      <c r="C85" s="60">
        <f>[10]AR!AP17</f>
        <v>311.1583333333333</v>
      </c>
      <c r="D85" s="60">
        <f>[10]AR!AQ17</f>
        <v>351.2166666666667</v>
      </c>
      <c r="E85" s="60">
        <f>[10]AR!AR17</f>
        <v>379.22513900367994</v>
      </c>
      <c r="F85" s="60">
        <f>[10]AR!AS17</f>
        <v>390.78163083521014</v>
      </c>
      <c r="G85" s="60">
        <f>[10]AR!AT17</f>
        <v>397.46468069109602</v>
      </c>
      <c r="H85" s="60">
        <f>[10]AR!AU17</f>
        <v>403.59421460000311</v>
      </c>
      <c r="I85" s="61">
        <f>[10]AR!AV17</f>
        <v>410.84351386479216</v>
      </c>
      <c r="J85" s="108"/>
      <c r="K85" s="60">
        <f>'Table 1 ED2 Detailed'!E85-E85</f>
        <v>-2.5086367862986663</v>
      </c>
      <c r="L85" s="60">
        <f>'Table 1 ED2 Detailed'!F85-F85</f>
        <v>-3.1094501316200649</v>
      </c>
      <c r="M85" s="60">
        <f>'Table 1 ED2 Detailed'!G85-G85</f>
        <v>-3.1814908102781487</v>
      </c>
      <c r="N85" s="60">
        <f>'Table 1 ED2 Detailed'!H85-H85</f>
        <v>-3.2305544296382322</v>
      </c>
      <c r="O85" s="61">
        <f>'Table 1 ED2 Detailed'!I85-I85</f>
        <v>-3.2885811678927439</v>
      </c>
      <c r="P85" s="105"/>
    </row>
    <row r="86" spans="1:16" ht="15.75" thickBot="1" x14ac:dyDescent="0.3">
      <c r="A86" s="39"/>
      <c r="B86" s="40"/>
      <c r="C86" s="40"/>
      <c r="D86" s="40"/>
      <c r="E86" s="41"/>
      <c r="F86" s="40"/>
      <c r="G86" s="40"/>
      <c r="H86" s="40"/>
      <c r="I86" s="42"/>
      <c r="J86" s="109"/>
      <c r="K86" s="110"/>
      <c r="L86" s="111"/>
      <c r="M86" s="111"/>
      <c r="N86" s="111"/>
      <c r="O86" s="112"/>
      <c r="P86" s="105"/>
    </row>
    <row r="87" spans="1:16" x14ac:dyDescent="0.25">
      <c r="A87" s="35" t="s">
        <v>67</v>
      </c>
      <c r="B87" s="36" t="s">
        <v>71</v>
      </c>
      <c r="C87" s="36" t="s">
        <v>72</v>
      </c>
      <c r="D87" s="36"/>
      <c r="E87" s="53">
        <f>E82*E85/$B85</f>
        <v>406.89847614414458</v>
      </c>
      <c r="F87" s="53">
        <f>F82*F85/$B85</f>
        <v>419.7564944820806</v>
      </c>
      <c r="G87" s="53">
        <f>G82*G85/$B85</f>
        <v>438.27989162662033</v>
      </c>
      <c r="H87" s="53">
        <f>H82*H85/$B85</f>
        <v>452.66204682178494</v>
      </c>
      <c r="I87" s="54">
        <f>I82*I85/$B85</f>
        <v>464.32347566194488</v>
      </c>
      <c r="J87" s="35"/>
      <c r="K87" s="53">
        <f>'Table 1 ED2 Detailed'!E87-E87</f>
        <v>-5.7942549844262885</v>
      </c>
      <c r="L87" s="53">
        <f>'Table 1 ED2 Detailed'!F87-F87</f>
        <v>-4.8638024647416387</v>
      </c>
      <c r="M87" s="53">
        <f>'Table 1 ED2 Detailed'!G87-G87</f>
        <v>-5.1630224429561622</v>
      </c>
      <c r="N87" s="53">
        <f>'Table 1 ED2 Detailed'!H87-H87</f>
        <v>-5.2035159747801458</v>
      </c>
      <c r="O87" s="54">
        <f>'Table 1 ED2 Detailed'!I87-I87</f>
        <v>-5.1452704410676233</v>
      </c>
      <c r="P87" s="105"/>
    </row>
    <row r="88" spans="1:16" x14ac:dyDescent="0.25">
      <c r="A88" s="16" t="s">
        <v>73</v>
      </c>
      <c r="B88" s="2" t="s">
        <v>71</v>
      </c>
      <c r="C88" s="2" t="s">
        <v>74</v>
      </c>
      <c r="D88" s="2"/>
      <c r="E88" s="3">
        <f>E99</f>
        <v>-5.5213415751432091</v>
      </c>
      <c r="F88" s="3">
        <f t="shared" ref="F88:I88" si="17">F99</f>
        <v>20.420689288902356</v>
      </c>
      <c r="G88" s="3">
        <f t="shared" si="17"/>
        <v>-22.792052188340591</v>
      </c>
      <c r="H88" s="3">
        <f t="shared" si="17"/>
        <v>-0.581202454610664</v>
      </c>
      <c r="I88" s="17">
        <f t="shared" si="17"/>
        <v>0</v>
      </c>
      <c r="J88" s="16"/>
      <c r="K88" s="3">
        <f>'Table 1 ED2 Detailed'!E88-E88</f>
        <v>-0.46308643261403493</v>
      </c>
      <c r="L88" s="3">
        <f>'Table 1 ED2 Detailed'!F88-F88</f>
        <v>-6.1789508314636485</v>
      </c>
      <c r="M88" s="3">
        <f>'Table 1 ED2 Detailed'!G88-G88</f>
        <v>-13.371214883965564</v>
      </c>
      <c r="N88" s="3">
        <f>'Table 1 ED2 Detailed'!H88-H88</f>
        <v>-19.601534586155612</v>
      </c>
      <c r="O88" s="17">
        <f>'Table 1 ED2 Detailed'!I88-I88</f>
        <v>0</v>
      </c>
      <c r="P88" s="105"/>
    </row>
    <row r="89" spans="1:16" x14ac:dyDescent="0.25">
      <c r="A89" s="16" t="s">
        <v>75</v>
      </c>
      <c r="B89" s="2" t="s">
        <v>71</v>
      </c>
      <c r="C89" s="2" t="s">
        <v>76</v>
      </c>
      <c r="D89" s="2"/>
      <c r="E89" s="3">
        <f>[10]AR!AR51</f>
        <v>0</v>
      </c>
      <c r="F89" s="3">
        <f>[10]AR!AS51</f>
        <v>0</v>
      </c>
      <c r="G89" s="3">
        <f>[10]AR!AT51</f>
        <v>0</v>
      </c>
      <c r="H89" s="3">
        <f>[10]AR!AU51</f>
        <v>0</v>
      </c>
      <c r="I89" s="17">
        <f>[10]AR!AV51</f>
        <v>0</v>
      </c>
      <c r="J89" s="16"/>
      <c r="K89" s="3">
        <f>'Table 1 ED2 Detailed'!E89-E89</f>
        <v>0</v>
      </c>
      <c r="L89" s="3">
        <f>'Table 1 ED2 Detailed'!F89-F89</f>
        <v>0</v>
      </c>
      <c r="M89" s="3">
        <f>'Table 1 ED2 Detailed'!G89-G89</f>
        <v>0</v>
      </c>
      <c r="N89" s="3">
        <f>'Table 1 ED2 Detailed'!H89-H89</f>
        <v>0</v>
      </c>
      <c r="O89" s="17">
        <f>'Table 1 ED2 Detailed'!I89-I89</f>
        <v>0</v>
      </c>
      <c r="P89" s="105"/>
    </row>
    <row r="90" spans="1:16" ht="15.75" thickBot="1" x14ac:dyDescent="0.3">
      <c r="A90" s="33" t="s">
        <v>77</v>
      </c>
      <c r="B90" s="34" t="s">
        <v>71</v>
      </c>
      <c r="C90" s="34" t="s">
        <v>78</v>
      </c>
      <c r="D90" s="34"/>
      <c r="E90" s="47">
        <f>[10]AR!AR52</f>
        <v>-5.3800359373021589</v>
      </c>
      <c r="F90" s="47">
        <f>[10]AR!AS52</f>
        <v>35.487583066442582</v>
      </c>
      <c r="G90" s="47">
        <f>[10]AR!AT52</f>
        <v>0.16245136617516331</v>
      </c>
      <c r="H90" s="47">
        <f>[10]AR!AU52</f>
        <v>0.19768918181357306</v>
      </c>
      <c r="I90" s="48">
        <f>[10]AR!AV52</f>
        <v>0.20960521272003757</v>
      </c>
      <c r="J90" s="33"/>
      <c r="K90" s="47">
        <f>'Table 1 ED2 Detailed'!E90-E90</f>
        <v>-0.52942056108085822</v>
      </c>
      <c r="L90" s="47">
        <f>'Table 1 ED2 Detailed'!F90-F90</f>
        <v>-0.23707438137864756</v>
      </c>
      <c r="M90" s="47">
        <f>'Table 1 ED2 Detailed'!G90-G90</f>
        <v>-1.3003357372653734E-3</v>
      </c>
      <c r="N90" s="47">
        <f>'Table 1 ED2 Detailed'!H90-H90</f>
        <v>-1.5823954826318654E-3</v>
      </c>
      <c r="O90" s="48">
        <f>'Table 1 ED2 Detailed'!I90-I90</f>
        <v>-1.6777768955362204E-3</v>
      </c>
      <c r="P90" s="105"/>
    </row>
    <row r="91" spans="1:16" ht="15.75" thickBot="1" x14ac:dyDescent="0.3">
      <c r="A91" s="49" t="s">
        <v>79</v>
      </c>
      <c r="B91" s="50" t="s">
        <v>71</v>
      </c>
      <c r="C91" s="50" t="s">
        <v>80</v>
      </c>
      <c r="D91" s="51">
        <f>[10]AR!$AQ$58</f>
        <v>408.10232320735844</v>
      </c>
      <c r="E91" s="51">
        <f>SUM(E87:E90)</f>
        <v>395.9970986316992</v>
      </c>
      <c r="F91" s="51">
        <f t="shared" ref="F91:I91" si="18">SUM(F87:F90)</f>
        <v>475.66476683742553</v>
      </c>
      <c r="G91" s="51">
        <f t="shared" si="18"/>
        <v>415.65029080445487</v>
      </c>
      <c r="H91" s="51">
        <f t="shared" si="18"/>
        <v>452.27853354898787</v>
      </c>
      <c r="I91" s="52">
        <f t="shared" si="18"/>
        <v>464.5330808746649</v>
      </c>
      <c r="J91" s="113">
        <f>'Table 1 ED2 Detailed'!D91-D91</f>
        <v>-0.45446051292532275</v>
      </c>
      <c r="K91" s="51">
        <f>'Table 1 ED2 Detailed'!E91-E91</f>
        <v>-6.7867619781211488</v>
      </c>
      <c r="L91" s="51">
        <f>'Table 1 ED2 Detailed'!F91-F91</f>
        <v>-11.27982767758391</v>
      </c>
      <c r="M91" s="51">
        <f>'Table 1 ED2 Detailed'!G91-G91</f>
        <v>-18.535537662658953</v>
      </c>
      <c r="N91" s="51">
        <f>'Table 1 ED2 Detailed'!H91-H91</f>
        <v>-24.806632956418412</v>
      </c>
      <c r="O91" s="52">
        <f>'Table 1 ED2 Detailed'!I91-I91</f>
        <v>-5.1469482179631427</v>
      </c>
      <c r="P91" s="105"/>
    </row>
    <row r="92" spans="1:16" ht="15.75" thickBot="1" x14ac:dyDescent="0.3">
      <c r="A92" s="39"/>
      <c r="B92" s="40"/>
      <c r="C92" s="40"/>
      <c r="D92" s="40"/>
      <c r="E92" s="41"/>
      <c r="F92" s="40"/>
      <c r="G92" s="40"/>
      <c r="H92" s="40"/>
      <c r="I92" s="42"/>
      <c r="J92" s="114"/>
      <c r="K92" s="115"/>
      <c r="L92" s="116"/>
      <c r="M92" s="116"/>
      <c r="N92" s="116"/>
      <c r="O92" s="117"/>
      <c r="P92" s="105"/>
    </row>
    <row r="93" spans="1:16" x14ac:dyDescent="0.25">
      <c r="A93" s="43" t="s">
        <v>81</v>
      </c>
      <c r="B93" s="44" t="s">
        <v>71</v>
      </c>
      <c r="C93" s="44" t="s">
        <v>82</v>
      </c>
      <c r="D93" s="45">
        <f>[10]AR!AQ$62</f>
        <v>413.09147007999997</v>
      </c>
      <c r="E93" s="45">
        <f>[10]AR!AR$62</f>
        <v>376.93760728803011</v>
      </c>
      <c r="F93" s="45">
        <f>[10]AR!AS$62</f>
        <v>497.18336077315752</v>
      </c>
      <c r="G93" s="45">
        <f>[10]AR!AT$62</f>
        <v>416.19988552826158</v>
      </c>
      <c r="H93" s="45">
        <f>[10]AR!AU$62</f>
        <v>452.27853354898792</v>
      </c>
      <c r="I93" s="46">
        <f>[10]AR!AV$62</f>
        <v>464.5330808746649</v>
      </c>
      <c r="J93" s="118">
        <f>'Table 1 ED2 Detailed'!D93-D93</f>
        <v>0</v>
      </c>
      <c r="K93" s="45">
        <f>'Table 1 ED2 Detailed'!E93-E93</f>
        <v>-1.0376656480300994</v>
      </c>
      <c r="L93" s="45">
        <f>'Table 1 ED2 Detailed'!F93-F93</f>
        <v>1.3459320227140097</v>
      </c>
      <c r="M93" s="45">
        <f>'Table 1 ED2 Detailed'!G93-G93</f>
        <v>0</v>
      </c>
      <c r="N93" s="45">
        <f>'Table 1 ED2 Detailed'!H93-H93</f>
        <v>-24.806632956418412</v>
      </c>
      <c r="O93" s="46">
        <f>'Table 1 ED2 Detailed'!I93-I93</f>
        <v>-5.1469482179631427</v>
      </c>
      <c r="P93" s="105"/>
    </row>
    <row r="94" spans="1:16" ht="15.75" thickBot="1" x14ac:dyDescent="0.3">
      <c r="A94" s="26" t="s">
        <v>83</v>
      </c>
      <c r="B94" s="27" t="s">
        <v>71</v>
      </c>
      <c r="C94" s="27"/>
      <c r="D94" s="28">
        <f>D91-D93</f>
        <v>-4.9891468726415269</v>
      </c>
      <c r="E94" s="28">
        <f t="shared" ref="E94:I94" si="19">E91-E93</f>
        <v>19.059491343669094</v>
      </c>
      <c r="F94" s="28">
        <f t="shared" si="19"/>
        <v>-21.518593935731985</v>
      </c>
      <c r="G94" s="28">
        <f t="shared" si="19"/>
        <v>-0.54959472380670604</v>
      </c>
      <c r="H94" s="28">
        <f t="shared" si="19"/>
        <v>0</v>
      </c>
      <c r="I94" s="29">
        <f t="shared" si="19"/>
        <v>0</v>
      </c>
      <c r="J94" s="119">
        <f>'Table 1 ED2 Detailed'!D94-D94</f>
        <v>-0.45446051292532275</v>
      </c>
      <c r="K94" s="28">
        <f>'Table 1 ED2 Detailed'!E94-E94</f>
        <v>-5.7490963300910494</v>
      </c>
      <c r="L94" s="28">
        <f>'Table 1 ED2 Detailed'!F94-F94</f>
        <v>-12.62575970029792</v>
      </c>
      <c r="M94" s="28">
        <f>'Table 1 ED2 Detailed'!G94-G94</f>
        <v>-18.535537662658953</v>
      </c>
      <c r="N94" s="28">
        <f>'Table 1 ED2 Detailed'!H94-H94</f>
        <v>0</v>
      </c>
      <c r="O94" s="29">
        <f>'Table 1 ED2 Detailed'!I94-I94</f>
        <v>0</v>
      </c>
      <c r="P94" s="105"/>
    </row>
    <row r="95" spans="1:16" ht="15.75" thickBot="1" x14ac:dyDescent="0.3">
      <c r="A95" s="39"/>
      <c r="B95" s="40"/>
      <c r="C95" s="40"/>
      <c r="D95" s="40"/>
      <c r="E95" s="40"/>
      <c r="F95" s="40"/>
      <c r="G95" s="40"/>
      <c r="H95" s="40"/>
      <c r="I95" s="42"/>
      <c r="J95" s="39"/>
      <c r="K95" s="40"/>
      <c r="L95" s="40"/>
      <c r="M95" s="40"/>
      <c r="N95" s="40"/>
      <c r="O95" s="42"/>
      <c r="P95" s="105"/>
    </row>
    <row r="96" spans="1:16" x14ac:dyDescent="0.25">
      <c r="A96" s="35" t="s">
        <v>84</v>
      </c>
      <c r="B96" s="36" t="s">
        <v>13</v>
      </c>
      <c r="C96" s="36" t="s">
        <v>85</v>
      </c>
      <c r="D96" s="37">
        <f>[10]AR!AQ$65</f>
        <v>2.4934999999999999E-2</v>
      </c>
      <c r="E96" s="37">
        <f>[10]AR!AR$65</f>
        <v>3.97335776E-2</v>
      </c>
      <c r="F96" s="37">
        <f>[10]AR!AS$65</f>
        <v>4.1370183200000001E-2</v>
      </c>
      <c r="G96" s="37">
        <f>[10]AR!AT$65</f>
        <v>4.1450170800000005E-2</v>
      </c>
      <c r="H96" s="37">
        <f>[10]AR!AU$65</f>
        <v>4.15681044E-2</v>
      </c>
      <c r="I96" s="38">
        <f>[10]AR!AV$65</f>
        <v>4.1755693600000005E-2</v>
      </c>
      <c r="J96" s="120">
        <f>'Table 1 ED2 Detailed'!D96-D96</f>
        <v>0</v>
      </c>
      <c r="K96" s="37">
        <f>'Table 1 ED2 Detailed'!E96-E96</f>
        <v>0</v>
      </c>
      <c r="L96" s="37">
        <f>'Table 1 ED2 Detailed'!F96-F96</f>
        <v>0</v>
      </c>
      <c r="M96" s="37">
        <f>'Table 1 ED2 Detailed'!G96-G96</f>
        <v>0</v>
      </c>
      <c r="N96" s="37">
        <f>'Table 1 ED2 Detailed'!H96-H96</f>
        <v>0</v>
      </c>
      <c r="O96" s="38">
        <f>'Table 1 ED2 Detailed'!I96-I96</f>
        <v>0</v>
      </c>
      <c r="P96" s="105"/>
    </row>
    <row r="97" spans="1:16" x14ac:dyDescent="0.25">
      <c r="A97" s="16" t="s">
        <v>86</v>
      </c>
      <c r="B97" s="2" t="s">
        <v>87</v>
      </c>
      <c r="C97" s="2" t="s">
        <v>88</v>
      </c>
      <c r="D97" s="10">
        <f>[10]AR!AQ66</f>
        <v>7.9746990946746754E-2</v>
      </c>
      <c r="E97" s="10">
        <f>[10]AR!AR66</f>
        <v>3.0473960302030534E-2</v>
      </c>
      <c r="F97" s="10">
        <f>[10]AR!AS66</f>
        <v>1.7101750257816128E-2</v>
      </c>
      <c r="G97" s="10">
        <f>[10]AR!AT66</f>
        <v>1.5421581354723823E-2</v>
      </c>
      <c r="H97" s="10">
        <f>[10]AR!AU66</f>
        <v>1.7961851291584452E-2</v>
      </c>
      <c r="I97" s="25"/>
      <c r="J97" s="121">
        <f>'Table 1 ED2 Detailed'!D97-D97</f>
        <v>-7.1427042745655367E-3</v>
      </c>
      <c r="K97" s="10">
        <f>'Table 1 ED2 Detailed'!E97-E97</f>
        <v>-1.391935963508395E-3</v>
      </c>
      <c r="L97" s="10">
        <f>'Table 1 ED2 Detailed'!F97-F97</f>
        <v>-4.865873799286824E-5</v>
      </c>
      <c r="M97" s="10">
        <f>'Table 1 ED2 Detailed'!G97-G97</f>
        <v>-2.2204460492503131E-16</v>
      </c>
      <c r="N97" s="10">
        <f>'Table 1 ED2 Detailed'!H97-H97</f>
        <v>0</v>
      </c>
      <c r="O97" s="25">
        <f>'Table 1 ED2 Detailed'!I97-I97</f>
        <v>0</v>
      </c>
      <c r="P97" s="105"/>
    </row>
    <row r="98" spans="1:16" x14ac:dyDescent="0.25">
      <c r="A98" s="16" t="s">
        <v>89</v>
      </c>
      <c r="B98" s="2" t="s">
        <v>90</v>
      </c>
      <c r="C98" s="2" t="s">
        <v>91</v>
      </c>
      <c r="D98" s="10">
        <f>(1+D96)*(1+D97)-1</f>
        <v>0.10667048216600383</v>
      </c>
      <c r="E98" s="10">
        <f t="shared" ref="E98:H98" si="20">(1+E96)*(1+E97)-1</f>
        <v>7.1418377368470676E-2</v>
      </c>
      <c r="F98" s="10">
        <f t="shared" si="20"/>
        <v>5.9179435999022534E-2</v>
      </c>
      <c r="G98" s="10">
        <f t="shared" si="20"/>
        <v>5.7510979335883228E-2</v>
      </c>
      <c r="H98" s="10">
        <f t="shared" si="20"/>
        <v>6.02765958012903E-2</v>
      </c>
      <c r="I98" s="25"/>
      <c r="J98" s="121">
        <f>'Table 1 ED2 Detailed'!D98-D98</f>
        <v>-7.3208076056519023E-3</v>
      </c>
      <c r="K98" s="10">
        <f>'Table 1 ED2 Detailed'!E98-E98</f>
        <v>-1.4472425591287585E-3</v>
      </c>
      <c r="L98" s="10">
        <f>'Table 1 ED2 Detailed'!F98-F98</f>
        <v>-5.0671758897946617E-5</v>
      </c>
      <c r="M98" s="10">
        <f>'Table 1 ED2 Detailed'!G98-G98</f>
        <v>-2.2204460492503131E-16</v>
      </c>
      <c r="N98" s="10">
        <f>'Table 1 ED2 Detailed'!H98-H98</f>
        <v>0</v>
      </c>
      <c r="O98" s="25">
        <f>'Table 1 ED2 Detailed'!I98-I98</f>
        <v>0</v>
      </c>
      <c r="P98" s="105"/>
    </row>
    <row r="99" spans="1:16" ht="15.75" thickBot="1" x14ac:dyDescent="0.3">
      <c r="A99" s="26" t="s">
        <v>92</v>
      </c>
      <c r="B99" s="27" t="s">
        <v>71</v>
      </c>
      <c r="C99" s="27" t="s">
        <v>74</v>
      </c>
      <c r="D99" s="28"/>
      <c r="E99" s="28">
        <f>D94*(1+D98)</f>
        <v>-5.5213415751432091</v>
      </c>
      <c r="F99" s="28">
        <f t="shared" ref="F99:I99" si="21">E94*(1+E98)</f>
        <v>20.420689288902356</v>
      </c>
      <c r="G99" s="28">
        <f t="shared" si="21"/>
        <v>-22.792052188340591</v>
      </c>
      <c r="H99" s="28">
        <f t="shared" si="21"/>
        <v>-0.581202454610664</v>
      </c>
      <c r="I99" s="29">
        <f t="shared" si="21"/>
        <v>0</v>
      </c>
      <c r="J99" s="119">
        <f>'Table 1 ED2 Detailed'!D99-D99</f>
        <v>0</v>
      </c>
      <c r="K99" s="28">
        <f>'Table 1 ED2 Detailed'!E99-E99</f>
        <v>-0.46308643261403493</v>
      </c>
      <c r="L99" s="28">
        <f>'Table 1 ED2 Detailed'!F99-F99</f>
        <v>-6.1789508314636485</v>
      </c>
      <c r="M99" s="28">
        <f>'Table 1 ED2 Detailed'!G99-G99</f>
        <v>-13.371214883965564</v>
      </c>
      <c r="N99" s="28">
        <f>'Table 1 ED2 Detailed'!H99-H99</f>
        <v>-19.601534586155612</v>
      </c>
      <c r="O99" s="29">
        <f>'Table 1 ED2 Detailed'!I99-I99</f>
        <v>0</v>
      </c>
      <c r="P99" s="105"/>
    </row>
    <row r="101" spans="1:16" x14ac:dyDescent="0.25">
      <c r="A101" t="s">
        <v>132</v>
      </c>
      <c r="E101" s="98">
        <f>E91-[10]AR!AR$53</f>
        <v>0</v>
      </c>
      <c r="F101" s="98">
        <f>F91-[10]AR!AS$53</f>
        <v>0</v>
      </c>
      <c r="G101" s="98">
        <f>G91-[10]AR!AT$53</f>
        <v>0</v>
      </c>
      <c r="H101" s="98">
        <f>H91-[10]AR!AU$53</f>
        <v>0</v>
      </c>
      <c r="I101" s="98">
        <f>I91-[10]AR!AV$53</f>
        <v>0</v>
      </c>
      <c r="K101" s="98"/>
      <c r="L101" s="98"/>
      <c r="M101" s="98"/>
      <c r="N101" s="98"/>
      <c r="O101" s="98"/>
    </row>
    <row r="102" spans="1:16" x14ac:dyDescent="0.25">
      <c r="E102" s="98"/>
      <c r="F102" s="98"/>
      <c r="G102" s="98"/>
      <c r="H102" s="98"/>
      <c r="I102" s="9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="75" zoomScaleNormal="75" workbookViewId="0">
      <selection activeCell="F21" sqref="F21"/>
    </sheetView>
  </sheetViews>
  <sheetFormatPr defaultRowHeight="15" x14ac:dyDescent="0.25"/>
  <cols>
    <col min="1" max="1" width="48.85546875" customWidth="1"/>
    <col min="2" max="2" width="14.42578125" bestFit="1" customWidth="1"/>
    <col min="3" max="3" width="10.42578125" customWidth="1"/>
    <col min="4" max="9" width="9.85546875" bestFit="1" customWidth="1"/>
  </cols>
  <sheetData>
    <row r="1" spans="1:9" x14ac:dyDescent="0.25">
      <c r="A1" s="157" t="str">
        <f>'Table 1 ED2 Detailed'!A1</f>
        <v>NGED South West</v>
      </c>
      <c r="E1" t="s">
        <v>1</v>
      </c>
      <c r="F1" t="s">
        <v>2</v>
      </c>
      <c r="G1" t="s">
        <v>3</v>
      </c>
      <c r="H1" t="s">
        <v>4</v>
      </c>
      <c r="I1" t="s">
        <v>70</v>
      </c>
    </row>
    <row r="2" spans="1:9" ht="15.75" thickBot="1" x14ac:dyDescent="0.3">
      <c r="A2" s="55" t="s">
        <v>67</v>
      </c>
      <c r="B2" s="56" t="s">
        <v>6</v>
      </c>
      <c r="C2" s="56"/>
      <c r="D2" s="56"/>
      <c r="E2" s="57">
        <f>'Table 1 ED2 Detailed'!E82</f>
        <v>313.21030809634601</v>
      </c>
      <c r="F2" s="57">
        <f>'Table 1 ED2 Detailed'!F82</f>
        <v>314.82166198666914</v>
      </c>
      <c r="G2" s="57">
        <f>'Table 1 ED2 Detailed'!G82</f>
        <v>323.13968476153826</v>
      </c>
      <c r="H2" s="57">
        <f>'Table 1 ED2 Detailed'!H82</f>
        <v>328.76956024134773</v>
      </c>
      <c r="I2" s="57">
        <f>'Table 1 ED2 Detailed'!I82</f>
        <v>331.42752350457732</v>
      </c>
    </row>
    <row r="3" spans="1:9" x14ac:dyDescent="0.25">
      <c r="A3" t="s">
        <v>192</v>
      </c>
    </row>
    <row r="4" spans="1:9" x14ac:dyDescent="0.25">
      <c r="A4" t="s">
        <v>190</v>
      </c>
      <c r="E4" t="s">
        <v>191</v>
      </c>
      <c r="F4" t="s">
        <v>191</v>
      </c>
      <c r="G4" t="s">
        <v>191</v>
      </c>
      <c r="H4" t="s">
        <v>191</v>
      </c>
      <c r="I4" t="s">
        <v>191</v>
      </c>
    </row>
    <row r="5" spans="1:9" x14ac:dyDescent="0.25">
      <c r="A5" s="138"/>
      <c r="B5" s="139" t="s">
        <v>6</v>
      </c>
      <c r="C5" s="138"/>
      <c r="D5" s="138"/>
      <c r="E5" s="138"/>
      <c r="F5" s="138"/>
      <c r="G5" s="138"/>
      <c r="H5" s="138"/>
      <c r="I5" s="138"/>
    </row>
    <row r="6" spans="1:9" x14ac:dyDescent="0.25">
      <c r="A6" s="138"/>
      <c r="B6" s="139" t="s">
        <v>6</v>
      </c>
      <c r="C6" s="138"/>
      <c r="D6" s="138"/>
      <c r="E6" s="138"/>
      <c r="F6" s="138"/>
      <c r="G6" s="138"/>
      <c r="H6" s="138"/>
      <c r="I6" s="138"/>
    </row>
    <row r="7" spans="1:9" x14ac:dyDescent="0.25">
      <c r="A7" s="138"/>
      <c r="B7" s="139" t="s">
        <v>6</v>
      </c>
      <c r="C7" s="138"/>
      <c r="D7" s="138"/>
      <c r="E7" s="138"/>
      <c r="F7" s="138"/>
      <c r="G7" s="138"/>
      <c r="H7" s="138"/>
      <c r="I7" s="138"/>
    </row>
    <row r="8" spans="1:9" x14ac:dyDescent="0.25">
      <c r="A8" s="138"/>
      <c r="B8" s="139" t="s">
        <v>6</v>
      </c>
      <c r="C8" s="138"/>
      <c r="D8" s="138"/>
      <c r="E8" s="138"/>
      <c r="F8" s="138"/>
      <c r="G8" s="138"/>
      <c r="H8" s="138"/>
      <c r="I8" s="138"/>
    </row>
    <row r="9" spans="1:9" x14ac:dyDescent="0.25">
      <c r="A9" s="138"/>
      <c r="B9" s="139" t="s">
        <v>6</v>
      </c>
      <c r="C9" s="138"/>
      <c r="D9" s="138"/>
      <c r="E9" s="138"/>
      <c r="F9" s="138"/>
      <c r="G9" s="138"/>
      <c r="H9" s="138"/>
      <c r="I9" s="138"/>
    </row>
    <row r="11" spans="1:9" x14ac:dyDescent="0.25">
      <c r="A11" s="139" t="s">
        <v>193</v>
      </c>
      <c r="B11" s="139"/>
      <c r="C11" s="139"/>
      <c r="D11" s="139"/>
      <c r="E11" s="140">
        <f>SUM(E2,E5:E9)</f>
        <v>313.21030809634601</v>
      </c>
      <c r="F11" s="140">
        <f t="shared" ref="F11:I11" si="0">SUM(F2,F5:F9)</f>
        <v>314.82166198666914</v>
      </c>
      <c r="G11" s="140">
        <f t="shared" si="0"/>
        <v>323.13968476153826</v>
      </c>
      <c r="H11" s="140">
        <f t="shared" si="0"/>
        <v>328.76956024134773</v>
      </c>
      <c r="I11" s="140">
        <f t="shared" si="0"/>
        <v>331.42752350457732</v>
      </c>
    </row>
    <row r="12" spans="1:9" ht="15.75" thickBot="1" x14ac:dyDescent="0.3"/>
    <row r="13" spans="1:9" x14ac:dyDescent="0.25">
      <c r="A13" s="30" t="s">
        <v>95</v>
      </c>
      <c r="B13" s="31" t="s">
        <v>94</v>
      </c>
      <c r="C13" s="31" t="s">
        <v>93</v>
      </c>
      <c r="D13" s="31" t="s">
        <v>0</v>
      </c>
      <c r="E13" s="31" t="s">
        <v>1</v>
      </c>
      <c r="F13" s="31" t="s">
        <v>2</v>
      </c>
      <c r="G13" s="31" t="s">
        <v>3</v>
      </c>
      <c r="H13" s="31" t="s">
        <v>4</v>
      </c>
      <c r="I13" s="32" t="s">
        <v>70</v>
      </c>
    </row>
    <row r="14" spans="1:9" x14ac:dyDescent="0.25">
      <c r="A14" s="23" t="s">
        <v>68</v>
      </c>
      <c r="B14" s="9">
        <f>[9]AR!AO16</f>
        <v>1</v>
      </c>
      <c r="C14" s="9">
        <f>[9]AR!AP16</f>
        <v>1.0577620396600564</v>
      </c>
      <c r="D14" s="9">
        <f>[9]AR!AQ16</f>
        <v>1.1939376770538244</v>
      </c>
      <c r="E14" s="9">
        <f>[9]AR!AR16</f>
        <v>1.2806226704273584</v>
      </c>
      <c r="F14" s="9">
        <f>[9]AR!AS16</f>
        <v>1.3178657700971899</v>
      </c>
      <c r="G14" s="9">
        <f>[9]AR!AT16</f>
        <v>1.3403394556854997</v>
      </c>
      <c r="H14" s="9">
        <f>[9]AR!AU16</f>
        <v>1.3610096096442998</v>
      </c>
      <c r="I14" s="24">
        <f>[9]AR!AV16</f>
        <v>1.3854558618591482</v>
      </c>
    </row>
    <row r="15" spans="1:9" ht="15.75" thickBot="1" x14ac:dyDescent="0.3">
      <c r="A15" s="59" t="s">
        <v>69</v>
      </c>
      <c r="B15" s="60">
        <f>[9]AR!AO17</f>
        <v>294.16666666666669</v>
      </c>
      <c r="C15" s="60">
        <f>[9]AR!AP17</f>
        <v>311.1583333333333</v>
      </c>
      <c r="D15" s="60">
        <f>[9]AR!AQ17</f>
        <v>351.2166666666667</v>
      </c>
      <c r="E15" s="60">
        <f>[9]AR!AR17</f>
        <v>376.71650221738128</v>
      </c>
      <c r="F15" s="60">
        <f>[9]AR!AS17</f>
        <v>387.67218070359007</v>
      </c>
      <c r="G15" s="60">
        <f>[9]AR!AT17</f>
        <v>394.28318988081787</v>
      </c>
      <c r="H15" s="60">
        <f>[9]AR!AU17</f>
        <v>400.36366017036488</v>
      </c>
      <c r="I15" s="61">
        <f>[9]AR!AV17</f>
        <v>407.55493269689941</v>
      </c>
    </row>
    <row r="16" spans="1:9" ht="15.75" thickBot="1" x14ac:dyDescent="0.3">
      <c r="A16" s="39"/>
      <c r="B16" s="40"/>
      <c r="C16" s="40"/>
      <c r="D16" s="40"/>
      <c r="E16" s="41"/>
      <c r="F16" s="40"/>
      <c r="G16" s="40"/>
      <c r="H16" s="40"/>
      <c r="I16" s="42"/>
    </row>
    <row r="17" spans="1:9" x14ac:dyDescent="0.25">
      <c r="A17" s="35" t="s">
        <v>67</v>
      </c>
      <c r="B17" s="36" t="s">
        <v>71</v>
      </c>
      <c r="C17" s="36" t="s">
        <v>72</v>
      </c>
      <c r="D17" s="36"/>
      <c r="E17" s="53">
        <f>E11*E15/$B15</f>
        <v>401.10422115971829</v>
      </c>
      <c r="F17" s="53">
        <f t="shared" ref="F17:I17" si="1">F11*F15/$B15</f>
        <v>414.89269201733896</v>
      </c>
      <c r="G17" s="53">
        <f t="shared" si="1"/>
        <v>433.11686918366416</v>
      </c>
      <c r="H17" s="53">
        <f t="shared" si="1"/>
        <v>447.45853084700479</v>
      </c>
      <c r="I17" s="54">
        <f t="shared" si="1"/>
        <v>459.17820522087726</v>
      </c>
    </row>
    <row r="18" spans="1:9" x14ac:dyDescent="0.25">
      <c r="A18" s="16" t="s">
        <v>73</v>
      </c>
      <c r="B18" s="2" t="s">
        <v>71</v>
      </c>
      <c r="C18" s="2" t="s">
        <v>74</v>
      </c>
      <c r="D18" s="2"/>
      <c r="E18" s="3">
        <f>E29</f>
        <v>-5.984428007757244</v>
      </c>
      <c r="F18" s="3">
        <f t="shared" ref="F18:I18" si="2">F29</f>
        <v>14.241738457438707</v>
      </c>
      <c r="G18" s="3">
        <f t="shared" si="2"/>
        <v>-36.163267072306155</v>
      </c>
      <c r="H18" s="3">
        <f t="shared" si="2"/>
        <v>-20.182737040766277</v>
      </c>
      <c r="I18" s="17">
        <f t="shared" si="2"/>
        <v>0</v>
      </c>
    </row>
    <row r="19" spans="1:9" x14ac:dyDescent="0.25">
      <c r="A19" s="16" t="s">
        <v>75</v>
      </c>
      <c r="B19" s="2" t="s">
        <v>71</v>
      </c>
      <c r="C19" s="2" t="s">
        <v>76</v>
      </c>
      <c r="D19" s="2"/>
      <c r="E19" s="3">
        <f>[9]AR!AR51</f>
        <v>0</v>
      </c>
      <c r="F19" s="3">
        <f>[9]AR!AS51</f>
        <v>0</v>
      </c>
      <c r="G19" s="3">
        <f>[9]AR!AT51</f>
        <v>0</v>
      </c>
      <c r="H19" s="3">
        <f>[9]AR!AU51</f>
        <v>0</v>
      </c>
      <c r="I19" s="17">
        <f>[9]AR!AV51</f>
        <v>0</v>
      </c>
    </row>
    <row r="20" spans="1:9" ht="15.75" thickBot="1" x14ac:dyDescent="0.3">
      <c r="A20" s="33" t="s">
        <v>77</v>
      </c>
      <c r="B20" s="34" t="s">
        <v>71</v>
      </c>
      <c r="C20" s="34" t="s">
        <v>78</v>
      </c>
      <c r="D20" s="34"/>
      <c r="E20" s="47">
        <f>'Table 1 ED2 Detailed'!E90</f>
        <v>-5.9094564983830171</v>
      </c>
      <c r="F20" s="47">
        <f>'Table 1 ED2 Detailed'!F90</f>
        <v>35.250508685063934</v>
      </c>
      <c r="G20" s="47">
        <f>'Table 1 ED2 Detailed'!G90</f>
        <v>0.16115103043789794</v>
      </c>
      <c r="H20" s="47">
        <f>'Table 1 ED2 Detailed'!H90</f>
        <v>0.1961067863309412</v>
      </c>
      <c r="I20" s="48">
        <f>'Table 1 ED2 Detailed'!I90</f>
        <v>0.20792743582450135</v>
      </c>
    </row>
    <row r="21" spans="1:9" ht="15.75" thickBot="1" x14ac:dyDescent="0.3">
      <c r="A21" s="49" t="s">
        <v>79</v>
      </c>
      <c r="B21" s="50" t="s">
        <v>71</v>
      </c>
      <c r="C21" s="50" t="s">
        <v>80</v>
      </c>
      <c r="D21" s="51">
        <f>[9]AR!$AQ$58</f>
        <v>407.64786269443312</v>
      </c>
      <c r="E21" s="51">
        <f>SUM(E17:E20)</f>
        <v>389.21033665357805</v>
      </c>
      <c r="F21" s="51">
        <f t="shared" ref="F21:I21" si="3">SUM(F17:F20)</f>
        <v>464.38493915984162</v>
      </c>
      <c r="G21" s="51">
        <f t="shared" si="3"/>
        <v>397.11475314179592</v>
      </c>
      <c r="H21" s="51">
        <f t="shared" si="3"/>
        <v>427.47190059256945</v>
      </c>
      <c r="I21" s="52">
        <f t="shared" si="3"/>
        <v>459.38613265670176</v>
      </c>
    </row>
    <row r="22" spans="1:9" ht="15.75" thickBot="1" x14ac:dyDescent="0.3">
      <c r="A22" s="39"/>
      <c r="B22" s="40"/>
      <c r="C22" s="40"/>
      <c r="D22" s="40"/>
      <c r="E22" s="41"/>
      <c r="F22" s="40"/>
      <c r="G22" s="40"/>
      <c r="H22" s="40"/>
      <c r="I22" s="42"/>
    </row>
    <row r="23" spans="1:9" x14ac:dyDescent="0.25">
      <c r="A23" s="43" t="s">
        <v>81</v>
      </c>
      <c r="B23" s="44" t="s">
        <v>71</v>
      </c>
      <c r="C23" s="44" t="s">
        <v>82</v>
      </c>
      <c r="D23" s="45">
        <f>'Table 1 ED2 Detailed'!D93</f>
        <v>413.09147007999997</v>
      </c>
      <c r="E23" s="45">
        <f>'Table 1 ED2 Detailed'!E93</f>
        <v>375.89994164000001</v>
      </c>
      <c r="F23" s="45">
        <f>'Table 1 ED2 Detailed'!F93</f>
        <v>498.52929279587153</v>
      </c>
      <c r="G23" s="45">
        <f>'Table 1 ED2 Detailed'!G93</f>
        <v>416.19988552826158</v>
      </c>
      <c r="H23" s="45">
        <f>'Table 1 ED2 Detailed'!H93</f>
        <v>427.47190059256951</v>
      </c>
      <c r="I23" s="46">
        <f>'Table 1 ED2 Detailed'!I93</f>
        <v>459.38613265670176</v>
      </c>
    </row>
    <row r="24" spans="1:9" ht="15.75" thickBot="1" x14ac:dyDescent="0.3">
      <c r="A24" s="26" t="s">
        <v>83</v>
      </c>
      <c r="B24" s="27" t="s">
        <v>71</v>
      </c>
      <c r="C24" s="27"/>
      <c r="D24" s="28">
        <f>D21-D23</f>
        <v>-5.4436073855668496</v>
      </c>
      <c r="E24" s="28">
        <f t="shared" ref="E24:I24" si="4">E21-E23</f>
        <v>13.310395013578045</v>
      </c>
      <c r="F24" s="28">
        <f t="shared" si="4"/>
        <v>-34.144353636029905</v>
      </c>
      <c r="G24" s="28">
        <f t="shared" si="4"/>
        <v>-19.085132386465659</v>
      </c>
      <c r="H24" s="28">
        <f t="shared" si="4"/>
        <v>0</v>
      </c>
      <c r="I24" s="29">
        <f t="shared" si="4"/>
        <v>0</v>
      </c>
    </row>
    <row r="25" spans="1:9" ht="15.75" thickBot="1" x14ac:dyDescent="0.3">
      <c r="A25" s="39"/>
      <c r="B25" s="40"/>
      <c r="C25" s="40"/>
      <c r="D25" s="40"/>
      <c r="E25" s="40"/>
      <c r="F25" s="40"/>
      <c r="G25" s="40"/>
      <c r="H25" s="40"/>
      <c r="I25" s="42"/>
    </row>
    <row r="26" spans="1:9" x14ac:dyDescent="0.25">
      <c r="A26" s="35" t="s">
        <v>84</v>
      </c>
      <c r="B26" s="36" t="s">
        <v>13</v>
      </c>
      <c r="C26" s="36" t="s">
        <v>85</v>
      </c>
      <c r="D26" s="37">
        <f>[9]AR!AQ$65</f>
        <v>2.4934999999999999E-2</v>
      </c>
      <c r="E26" s="37">
        <f>[9]AR!AR$65</f>
        <v>3.97335776E-2</v>
      </c>
      <c r="F26" s="37">
        <f>[9]AR!AS$65</f>
        <v>4.1370183200000001E-2</v>
      </c>
      <c r="G26" s="37">
        <f>[9]AR!AT$65</f>
        <v>4.1450170800000005E-2</v>
      </c>
      <c r="H26" s="37">
        <f>[9]AR!AU$65</f>
        <v>4.15681044E-2</v>
      </c>
      <c r="I26" s="38">
        <f>[9]AR!AV$65</f>
        <v>4.1755693600000005E-2</v>
      </c>
    </row>
    <row r="27" spans="1:9" x14ac:dyDescent="0.25">
      <c r="A27" s="16" t="s">
        <v>86</v>
      </c>
      <c r="B27" s="2" t="s">
        <v>87</v>
      </c>
      <c r="C27" s="2" t="s">
        <v>88</v>
      </c>
      <c r="D27" s="10">
        <f>[9]AR!AQ66</f>
        <v>7.2604286672181217E-2</v>
      </c>
      <c r="E27" s="10">
        <f>[9]AR!AR66</f>
        <v>2.9082024338522139E-2</v>
      </c>
      <c r="F27" s="10">
        <f>[9]AR!AS66</f>
        <v>1.705309151982326E-2</v>
      </c>
      <c r="G27" s="10">
        <f>[9]AR!AT66</f>
        <v>1.5421581354723601E-2</v>
      </c>
      <c r="H27" s="10">
        <f>[9]AR!AU66</f>
        <v>1.7961851291584452E-2</v>
      </c>
      <c r="I27" s="25"/>
    </row>
    <row r="28" spans="1:9" x14ac:dyDescent="0.25">
      <c r="A28" s="16" t="s">
        <v>89</v>
      </c>
      <c r="B28" s="2" t="s">
        <v>90</v>
      </c>
      <c r="C28" s="2" t="s">
        <v>91</v>
      </c>
      <c r="D28" s="10">
        <f>(1+D26)*(1+D27)-1</f>
        <v>9.934967456035193E-2</v>
      </c>
      <c r="E28" s="10">
        <f t="shared" ref="E28:H28" si="5">(1+E26)*(1+E27)-1</f>
        <v>6.9971134809341917E-2</v>
      </c>
      <c r="F28" s="10">
        <f t="shared" si="5"/>
        <v>5.9128764240124587E-2</v>
      </c>
      <c r="G28" s="10">
        <f t="shared" si="5"/>
        <v>5.7510979335883006E-2</v>
      </c>
      <c r="H28" s="10">
        <f t="shared" si="5"/>
        <v>6.02765958012903E-2</v>
      </c>
      <c r="I28" s="25"/>
    </row>
    <row r="29" spans="1:9" ht="15.75" thickBot="1" x14ac:dyDescent="0.3">
      <c r="A29" s="26" t="s">
        <v>92</v>
      </c>
      <c r="B29" s="27" t="s">
        <v>71</v>
      </c>
      <c r="C29" s="27" t="s">
        <v>74</v>
      </c>
      <c r="D29" s="28"/>
      <c r="E29" s="28">
        <f>D24*(1+D28)</f>
        <v>-5.984428007757244</v>
      </c>
      <c r="F29" s="28">
        <f t="shared" ref="F29:I29" si="6">E24*(1+E28)</f>
        <v>14.241738457438707</v>
      </c>
      <c r="G29" s="28">
        <f t="shared" si="6"/>
        <v>-36.163267072306155</v>
      </c>
      <c r="H29" s="28">
        <f t="shared" si="6"/>
        <v>-20.182737040766277</v>
      </c>
      <c r="I29" s="29">
        <f t="shared" si="6"/>
        <v>0</v>
      </c>
    </row>
    <row r="30" spans="1:9" ht="15.75" thickBot="1" x14ac:dyDescent="0.3"/>
    <row r="31" spans="1:9" x14ac:dyDescent="0.25">
      <c r="A31" s="30" t="s">
        <v>95</v>
      </c>
      <c r="B31" s="31" t="s">
        <v>94</v>
      </c>
      <c r="C31" s="31" t="s">
        <v>93</v>
      </c>
      <c r="D31" s="31" t="s">
        <v>0</v>
      </c>
      <c r="E31" s="31" t="s">
        <v>1</v>
      </c>
      <c r="F31" s="31" t="s">
        <v>2</v>
      </c>
      <c r="G31" s="31" t="s">
        <v>3</v>
      </c>
      <c r="H31" s="31" t="s">
        <v>4</v>
      </c>
      <c r="I31" s="32" t="s">
        <v>70</v>
      </c>
    </row>
    <row r="32" spans="1:9" x14ac:dyDescent="0.25">
      <c r="A32" s="148" t="s">
        <v>195</v>
      </c>
      <c r="B32" s="145" t="s">
        <v>196</v>
      </c>
      <c r="C32" s="145"/>
      <c r="D32" s="145"/>
      <c r="E32" s="147">
        <v>-0.02</v>
      </c>
      <c r="F32" s="147">
        <v>-0.02</v>
      </c>
      <c r="G32" s="147">
        <v>-0.02</v>
      </c>
      <c r="H32" s="147">
        <v>-0.02</v>
      </c>
      <c r="I32" s="149">
        <v>-0.02</v>
      </c>
    </row>
    <row r="33" spans="1:9" x14ac:dyDescent="0.25">
      <c r="A33" s="150"/>
      <c r="B33" s="145"/>
      <c r="C33" s="145"/>
      <c r="D33" s="145"/>
      <c r="E33" s="146">
        <f>E21*(1+E32)</f>
        <v>381.42612992050647</v>
      </c>
      <c r="F33" s="146">
        <f t="shared" ref="F33:I33" si="7">F21*(1+F32)</f>
        <v>455.09724037664478</v>
      </c>
      <c r="G33" s="146">
        <f t="shared" si="7"/>
        <v>389.17245807896001</v>
      </c>
      <c r="H33" s="146">
        <f t="shared" si="7"/>
        <v>418.92246258071805</v>
      </c>
      <c r="I33" s="151">
        <f t="shared" si="7"/>
        <v>450.19841000356774</v>
      </c>
    </row>
    <row r="34" spans="1:9" x14ac:dyDescent="0.25">
      <c r="A34" s="150" t="str">
        <f>IF(E32&lt;0,"Reduction In K","Increase In K")</f>
        <v>Reduction In K</v>
      </c>
      <c r="B34" s="145"/>
      <c r="C34" s="145"/>
      <c r="D34" s="145"/>
      <c r="E34" s="145"/>
      <c r="F34" s="146">
        <f>(E33-E21)*(1+E32)</f>
        <v>-7.6285225984101528</v>
      </c>
      <c r="G34" s="146">
        <f>((F33-F21)+F34)*(1+D33)</f>
        <v>-16.916221381606999</v>
      </c>
      <c r="H34" s="145"/>
      <c r="I34" s="152"/>
    </row>
    <row r="35" spans="1:9" ht="15.75" thickBot="1" x14ac:dyDescent="0.3">
      <c r="A35" s="153" t="s">
        <v>199</v>
      </c>
      <c r="B35" s="154"/>
      <c r="C35" s="154"/>
      <c r="D35" s="154"/>
      <c r="E35" s="155">
        <f>E33+E34</f>
        <v>381.42612992050647</v>
      </c>
      <c r="F35" s="155">
        <f t="shared" ref="F35:I35" si="8">F33+F34</f>
        <v>447.46871777823463</v>
      </c>
      <c r="G35" s="155">
        <f t="shared" si="8"/>
        <v>372.25623669735302</v>
      </c>
      <c r="H35" s="155">
        <f t="shared" si="8"/>
        <v>418.92246258071805</v>
      </c>
      <c r="I35" s="156">
        <f t="shared" si="8"/>
        <v>450.19841000356774</v>
      </c>
    </row>
    <row r="36" spans="1:9" ht="15.75" thickBot="1" x14ac:dyDescent="0.3"/>
    <row r="37" spans="1:9" x14ac:dyDescent="0.25">
      <c r="A37" s="30" t="s">
        <v>95</v>
      </c>
      <c r="B37" s="31" t="s">
        <v>94</v>
      </c>
      <c r="C37" s="31" t="s">
        <v>93</v>
      </c>
      <c r="D37" s="31" t="s">
        <v>0</v>
      </c>
      <c r="E37" s="31" t="s">
        <v>1</v>
      </c>
      <c r="F37" s="31" t="s">
        <v>2</v>
      </c>
      <c r="G37" s="31" t="s">
        <v>3</v>
      </c>
      <c r="H37" s="31" t="s">
        <v>4</v>
      </c>
      <c r="I37" s="32" t="s">
        <v>70</v>
      </c>
    </row>
    <row r="38" spans="1:9" x14ac:dyDescent="0.25">
      <c r="A38" s="148" t="s">
        <v>197</v>
      </c>
      <c r="B38" s="145" t="s">
        <v>196</v>
      </c>
      <c r="C38" s="145"/>
      <c r="D38" s="145"/>
      <c r="E38" s="147">
        <v>0.01</v>
      </c>
      <c r="F38" s="147">
        <v>0.02</v>
      </c>
      <c r="G38" s="147"/>
      <c r="H38" s="147"/>
      <c r="I38" s="149"/>
    </row>
    <row r="39" spans="1:9" x14ac:dyDescent="0.25">
      <c r="A39" s="150"/>
      <c r="B39" s="145"/>
      <c r="C39" s="145"/>
      <c r="D39" s="145"/>
      <c r="E39" s="146">
        <f>E23*(1+E38)</f>
        <v>379.65894105640001</v>
      </c>
      <c r="F39" s="146">
        <f t="shared" ref="F39:I39" si="9">F23*(1+F38)</f>
        <v>508.49987865178895</v>
      </c>
      <c r="G39" s="146">
        <f t="shared" si="9"/>
        <v>416.19988552826158</v>
      </c>
      <c r="H39" s="146">
        <f t="shared" si="9"/>
        <v>427.47190059256951</v>
      </c>
      <c r="I39" s="151">
        <f t="shared" si="9"/>
        <v>459.38613265670176</v>
      </c>
    </row>
    <row r="40" spans="1:9" x14ac:dyDescent="0.25">
      <c r="A40" s="150" t="str">
        <f>IF(E38&lt;0,"Reduction In K","Increase In K")</f>
        <v>Increase In K</v>
      </c>
      <c r="B40" s="145"/>
      <c r="C40" s="145"/>
      <c r="D40" s="145"/>
      <c r="E40" s="145"/>
      <c r="F40" s="146">
        <f>(E39-E23)*(1+E38)*-1</f>
        <v>-3.7965894105640019</v>
      </c>
      <c r="G40" s="146">
        <f>((F39-F23)-F40)*(1+F38)*-1</f>
        <v>-14.04251877181105</v>
      </c>
      <c r="H40" s="146"/>
      <c r="I40" s="151"/>
    </row>
    <row r="41" spans="1:9" ht="15.75" thickBot="1" x14ac:dyDescent="0.3">
      <c r="A41" s="153" t="s">
        <v>198</v>
      </c>
      <c r="B41" s="154"/>
      <c r="C41" s="154"/>
      <c r="D41" s="154"/>
      <c r="E41" s="155">
        <f>E39+E40</f>
        <v>379.65894105640001</v>
      </c>
      <c r="F41" s="155">
        <f t="shared" ref="F41" si="10">F39+F40</f>
        <v>504.70328924122492</v>
      </c>
      <c r="G41" s="155">
        <f t="shared" ref="G41" si="11">G39+G40</f>
        <v>402.15736675645053</v>
      </c>
      <c r="H41" s="155">
        <f t="shared" ref="H41" si="12">H39+H40</f>
        <v>427.47190059256951</v>
      </c>
      <c r="I41" s="156">
        <f t="shared" ref="I41" si="13">I39+I40</f>
        <v>459.38613265670176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A4" sqref="A4"/>
    </sheetView>
  </sheetViews>
  <sheetFormatPr defaultRowHeight="15" x14ac:dyDescent="0.25"/>
  <cols>
    <col min="1" max="1" width="44.7109375" customWidth="1"/>
    <col min="2" max="6" width="10.28515625" customWidth="1"/>
    <col min="7" max="7" width="13.85546875" bestFit="1" customWidth="1"/>
    <col min="8" max="8" width="8" bestFit="1" customWidth="1"/>
  </cols>
  <sheetData>
    <row r="1" spans="1:8" x14ac:dyDescent="0.25">
      <c r="A1" s="157" t="str">
        <f>'Table 1 ED2 Detailed'!A1</f>
        <v>NGED South West</v>
      </c>
    </row>
    <row r="2" spans="1:8" x14ac:dyDescent="0.25">
      <c r="A2" t="s">
        <v>153</v>
      </c>
      <c r="B2" t="s">
        <v>189</v>
      </c>
      <c r="C2" t="s">
        <v>154</v>
      </c>
    </row>
    <row r="3" spans="1:8" x14ac:dyDescent="0.25">
      <c r="A3" t="s">
        <v>155</v>
      </c>
      <c r="B3" s="124">
        <v>2024</v>
      </c>
    </row>
    <row r="4" spans="1:8" x14ac:dyDescent="0.25">
      <c r="A4" t="str">
        <f>"April "&amp;B3+2&amp;" Illustrative Price"</f>
        <v>April 2026 Illustrative Price</v>
      </c>
    </row>
    <row r="5" spans="1:8" ht="76.5" x14ac:dyDescent="0.25">
      <c r="A5" s="127" t="s">
        <v>163</v>
      </c>
      <c r="B5" s="125" t="s">
        <v>156</v>
      </c>
      <c r="C5" s="125" t="s">
        <v>157</v>
      </c>
      <c r="D5" s="125" t="s">
        <v>158</v>
      </c>
      <c r="E5" s="126" t="s">
        <v>159</v>
      </c>
      <c r="F5" s="126" t="s">
        <v>160</v>
      </c>
      <c r="G5" s="127" t="s">
        <v>161</v>
      </c>
      <c r="H5" s="126" t="s">
        <v>162</v>
      </c>
    </row>
    <row r="6" spans="1:8" x14ac:dyDescent="0.25">
      <c r="A6" s="128" t="s">
        <v>346</v>
      </c>
      <c r="B6" s="129">
        <f>'[11]Tariff summary'!$J16</f>
        <v>24.78</v>
      </c>
      <c r="C6" s="130">
        <f>'[11]Tariff summary'!$K16</f>
        <v>1.6240000000000001</v>
      </c>
      <c r="D6" s="131">
        <f>'[11]Tariff summary'!$L16</f>
        <v>0.20200000000000001</v>
      </c>
      <c r="E6" s="132">
        <f>'[11]Tariff summary'!$M16</f>
        <v>14.11</v>
      </c>
      <c r="F6" s="133">
        <f>'[11]Tariff summary'!$N16</f>
        <v>0</v>
      </c>
      <c r="G6" s="133">
        <f>'[11]Tariff summary'!$O16</f>
        <v>0</v>
      </c>
      <c r="H6" s="134">
        <f>'[11]Tariff summary'!$P16</f>
        <v>0</v>
      </c>
    </row>
    <row r="7" spans="1:8" x14ac:dyDescent="0.25">
      <c r="A7" s="128" t="s">
        <v>164</v>
      </c>
      <c r="B7" s="129">
        <f>'[11]Tariff summary'!$J17</f>
        <v>24.78</v>
      </c>
      <c r="C7" s="130">
        <f>'[11]Tariff summary'!$K17</f>
        <v>1.6240000000000001</v>
      </c>
      <c r="D7" s="131">
        <f>'[11]Tariff summary'!$L17</f>
        <v>0.20200000000000001</v>
      </c>
      <c r="E7" s="133">
        <f>'[11]Tariff summary'!$M17</f>
        <v>0</v>
      </c>
      <c r="F7" s="133">
        <f>'[11]Tariff summary'!$N17</f>
        <v>0</v>
      </c>
      <c r="G7" s="133">
        <f>'[11]Tariff summary'!$O17</f>
        <v>0</v>
      </c>
      <c r="H7" s="134">
        <f>'[11]Tariff summary'!$P17</f>
        <v>0</v>
      </c>
    </row>
    <row r="8" spans="1:8" x14ac:dyDescent="0.25">
      <c r="A8" s="128" t="s">
        <v>347</v>
      </c>
      <c r="B8" s="129">
        <f>'[11]Tariff summary'!$J18</f>
        <v>25.768000000000001</v>
      </c>
      <c r="C8" s="130">
        <f>'[11]Tariff summary'!$K18</f>
        <v>1.6890000000000001</v>
      </c>
      <c r="D8" s="131">
        <f>'[11]Tariff summary'!$L18</f>
        <v>0.21</v>
      </c>
      <c r="E8" s="132">
        <f>'[11]Tariff summary'!$M18</f>
        <v>18.18</v>
      </c>
      <c r="F8" s="133">
        <f>'[11]Tariff summary'!$N18</f>
        <v>0</v>
      </c>
      <c r="G8" s="133">
        <f>'[11]Tariff summary'!$O18</f>
        <v>0</v>
      </c>
      <c r="H8" s="134">
        <f>'[11]Tariff summary'!$P18</f>
        <v>0</v>
      </c>
    </row>
    <row r="9" spans="1:8" x14ac:dyDescent="0.25">
      <c r="A9" s="128" t="s">
        <v>348</v>
      </c>
      <c r="B9" s="129">
        <f>'[11]Tariff summary'!$J19</f>
        <v>25.768000000000001</v>
      </c>
      <c r="C9" s="130">
        <f>'[11]Tariff summary'!$K19</f>
        <v>1.6890000000000001</v>
      </c>
      <c r="D9" s="131">
        <f>'[11]Tariff summary'!$L19</f>
        <v>0.21</v>
      </c>
      <c r="E9" s="132">
        <f>'[11]Tariff summary'!$M19</f>
        <v>20.69</v>
      </c>
      <c r="F9" s="133">
        <f>'[11]Tariff summary'!$N19</f>
        <v>0</v>
      </c>
      <c r="G9" s="133">
        <f>'[11]Tariff summary'!$O19</f>
        <v>0</v>
      </c>
      <c r="H9" s="134">
        <f>'[11]Tariff summary'!$P19</f>
        <v>0</v>
      </c>
    </row>
    <row r="10" spans="1:8" x14ac:dyDescent="0.25">
      <c r="A10" s="128" t="s">
        <v>349</v>
      </c>
      <c r="B10" s="129">
        <f>'[11]Tariff summary'!$J20</f>
        <v>25.768000000000001</v>
      </c>
      <c r="C10" s="130">
        <f>'[11]Tariff summary'!$K20</f>
        <v>1.6890000000000001</v>
      </c>
      <c r="D10" s="131">
        <f>'[11]Tariff summary'!$L20</f>
        <v>0.21</v>
      </c>
      <c r="E10" s="132">
        <f>'[11]Tariff summary'!$M20</f>
        <v>23.71</v>
      </c>
      <c r="F10" s="133">
        <f>'[11]Tariff summary'!$N20</f>
        <v>0</v>
      </c>
      <c r="G10" s="133">
        <f>'[11]Tariff summary'!$O20</f>
        <v>0</v>
      </c>
      <c r="H10" s="134">
        <f>'[11]Tariff summary'!$P20</f>
        <v>0</v>
      </c>
    </row>
    <row r="11" spans="1:8" x14ac:dyDescent="0.25">
      <c r="A11" s="128" t="s">
        <v>350</v>
      </c>
      <c r="B11" s="129">
        <f>'[11]Tariff summary'!$J21</f>
        <v>25.768000000000001</v>
      </c>
      <c r="C11" s="130">
        <f>'[11]Tariff summary'!$K21</f>
        <v>1.6890000000000001</v>
      </c>
      <c r="D11" s="131">
        <f>'[11]Tariff summary'!$L21</f>
        <v>0.21</v>
      </c>
      <c r="E11" s="132">
        <f>'[11]Tariff summary'!$M21</f>
        <v>29.47</v>
      </c>
      <c r="F11" s="133">
        <f>'[11]Tariff summary'!$N21</f>
        <v>0</v>
      </c>
      <c r="G11" s="133">
        <f>'[11]Tariff summary'!$O21</f>
        <v>0</v>
      </c>
      <c r="H11" s="134">
        <f>'[11]Tariff summary'!$P21</f>
        <v>0</v>
      </c>
    </row>
    <row r="12" spans="1:8" x14ac:dyDescent="0.25">
      <c r="A12" s="128" t="s">
        <v>351</v>
      </c>
      <c r="B12" s="129">
        <f>'[11]Tariff summary'!$J22</f>
        <v>25.768000000000001</v>
      </c>
      <c r="C12" s="130">
        <f>'[11]Tariff summary'!$K22</f>
        <v>1.6890000000000001</v>
      </c>
      <c r="D12" s="131">
        <f>'[11]Tariff summary'!$L22</f>
        <v>0.21</v>
      </c>
      <c r="E12" s="132">
        <f>'[11]Tariff summary'!$M22</f>
        <v>51.54</v>
      </c>
      <c r="F12" s="133">
        <f>'[11]Tariff summary'!$N22</f>
        <v>0</v>
      </c>
      <c r="G12" s="133">
        <f>'[11]Tariff summary'!$O22</f>
        <v>0</v>
      </c>
      <c r="H12" s="134">
        <f>'[11]Tariff summary'!$P22</f>
        <v>0</v>
      </c>
    </row>
    <row r="13" spans="1:8" x14ac:dyDescent="0.25">
      <c r="A13" s="128" t="s">
        <v>352</v>
      </c>
      <c r="B13" s="129">
        <f>'[11]Tariff summary'!$J23</f>
        <v>25.768000000000001</v>
      </c>
      <c r="C13" s="130">
        <f>'[11]Tariff summary'!$K23</f>
        <v>1.6890000000000001</v>
      </c>
      <c r="D13" s="131">
        <f>'[11]Tariff summary'!$L23</f>
        <v>0.21</v>
      </c>
      <c r="E13" s="133">
        <f>'[11]Tariff summary'!$M23</f>
        <v>0</v>
      </c>
      <c r="F13" s="133">
        <f>'[11]Tariff summary'!$N23</f>
        <v>0</v>
      </c>
      <c r="G13" s="133">
        <f>'[11]Tariff summary'!$O23</f>
        <v>0</v>
      </c>
      <c r="H13" s="134">
        <f>'[11]Tariff summary'!$P23</f>
        <v>0</v>
      </c>
    </row>
    <row r="14" spans="1:8" x14ac:dyDescent="0.25">
      <c r="A14" s="128" t="s">
        <v>165</v>
      </c>
      <c r="B14" s="129">
        <f>'[11]Tariff summary'!$J24</f>
        <v>15.821</v>
      </c>
      <c r="C14" s="130">
        <f>'[11]Tariff summary'!$K24</f>
        <v>0.94399999999999995</v>
      </c>
      <c r="D14" s="131">
        <f>'[11]Tariff summary'!$L24</f>
        <v>0.114</v>
      </c>
      <c r="E14" s="132">
        <f>'[11]Tariff summary'!$M24</f>
        <v>18.940000000000001</v>
      </c>
      <c r="F14" s="132">
        <f>'[11]Tariff summary'!$N24</f>
        <v>12.55</v>
      </c>
      <c r="G14" s="132">
        <f>'[11]Tariff summary'!$O24</f>
        <v>12.55</v>
      </c>
      <c r="H14" s="135">
        <f>'[11]Tariff summary'!$P24</f>
        <v>0.19700000000000001</v>
      </c>
    </row>
    <row r="15" spans="1:8" x14ac:dyDescent="0.25">
      <c r="A15" s="128" t="s">
        <v>166</v>
      </c>
      <c r="B15" s="129">
        <f>'[11]Tariff summary'!$J25</f>
        <v>15.821</v>
      </c>
      <c r="C15" s="130">
        <f>'[11]Tariff summary'!$K25</f>
        <v>0.94399999999999995</v>
      </c>
      <c r="D15" s="131">
        <f>'[11]Tariff summary'!$L25</f>
        <v>0.114</v>
      </c>
      <c r="E15" s="132">
        <f>'[11]Tariff summary'!$M25</f>
        <v>82.61</v>
      </c>
      <c r="F15" s="132">
        <f>'[11]Tariff summary'!$N25</f>
        <v>12.55</v>
      </c>
      <c r="G15" s="132">
        <f>'[11]Tariff summary'!$O25</f>
        <v>12.55</v>
      </c>
      <c r="H15" s="135">
        <f>'[11]Tariff summary'!$P25</f>
        <v>0.19700000000000001</v>
      </c>
    </row>
    <row r="16" spans="1:8" x14ac:dyDescent="0.25">
      <c r="A16" s="128" t="s">
        <v>167</v>
      </c>
      <c r="B16" s="129">
        <f>'[11]Tariff summary'!$J26</f>
        <v>15.821</v>
      </c>
      <c r="C16" s="130">
        <f>'[11]Tariff summary'!$K26</f>
        <v>0.94399999999999995</v>
      </c>
      <c r="D16" s="131">
        <f>'[11]Tariff summary'!$L26</f>
        <v>0.114</v>
      </c>
      <c r="E16" s="132">
        <f>'[11]Tariff summary'!$M26</f>
        <v>131.81</v>
      </c>
      <c r="F16" s="132">
        <f>'[11]Tariff summary'!$N26</f>
        <v>12.55</v>
      </c>
      <c r="G16" s="132">
        <f>'[11]Tariff summary'!$O26</f>
        <v>12.55</v>
      </c>
      <c r="H16" s="135">
        <f>'[11]Tariff summary'!$P26</f>
        <v>0.19700000000000001</v>
      </c>
    </row>
    <row r="17" spans="1:8" x14ac:dyDescent="0.25">
      <c r="A17" s="128" t="s">
        <v>168</v>
      </c>
      <c r="B17" s="129">
        <f>'[11]Tariff summary'!$J27</f>
        <v>15.821</v>
      </c>
      <c r="C17" s="130">
        <f>'[11]Tariff summary'!$K27</f>
        <v>0.94399999999999995</v>
      </c>
      <c r="D17" s="131">
        <f>'[11]Tariff summary'!$L27</f>
        <v>0.114</v>
      </c>
      <c r="E17" s="132">
        <f>'[11]Tariff summary'!$M27</f>
        <v>192.83</v>
      </c>
      <c r="F17" s="132">
        <f>'[11]Tariff summary'!$N27</f>
        <v>12.55</v>
      </c>
      <c r="G17" s="132">
        <f>'[11]Tariff summary'!$O27</f>
        <v>12.55</v>
      </c>
      <c r="H17" s="135">
        <f>'[11]Tariff summary'!$P27</f>
        <v>0.19700000000000001</v>
      </c>
    </row>
    <row r="18" spans="1:8" x14ac:dyDescent="0.25">
      <c r="A18" s="128" t="s">
        <v>169</v>
      </c>
      <c r="B18" s="129">
        <f>'[11]Tariff summary'!$J28</f>
        <v>15.821</v>
      </c>
      <c r="C18" s="130">
        <f>'[11]Tariff summary'!$K28</f>
        <v>0.94399999999999995</v>
      </c>
      <c r="D18" s="131">
        <f>'[11]Tariff summary'!$L28</f>
        <v>0.114</v>
      </c>
      <c r="E18" s="132">
        <f>'[11]Tariff summary'!$M28</f>
        <v>397.12</v>
      </c>
      <c r="F18" s="132">
        <f>'[11]Tariff summary'!$N28</f>
        <v>12.55</v>
      </c>
      <c r="G18" s="132">
        <f>'[11]Tariff summary'!$O28</f>
        <v>12.55</v>
      </c>
      <c r="H18" s="135">
        <f>'[11]Tariff summary'!$P28</f>
        <v>0.19700000000000001</v>
      </c>
    </row>
    <row r="19" spans="1:8" x14ac:dyDescent="0.25">
      <c r="A19" s="128" t="s">
        <v>170</v>
      </c>
      <c r="B19" s="129">
        <f>'[11]Tariff summary'!$J29</f>
        <v>9.9190000000000005</v>
      </c>
      <c r="C19" s="130">
        <f>'[11]Tariff summary'!$K29</f>
        <v>0.44900000000000001</v>
      </c>
      <c r="D19" s="131">
        <f>'[11]Tariff summary'!$L29</f>
        <v>4.9000000000000002E-2</v>
      </c>
      <c r="E19" s="132">
        <f>'[11]Tariff summary'!$M29</f>
        <v>14.78</v>
      </c>
      <c r="F19" s="132">
        <f>'[11]Tariff summary'!$N29</f>
        <v>10.91</v>
      </c>
      <c r="G19" s="132">
        <f>'[11]Tariff summary'!$O29</f>
        <v>10.91</v>
      </c>
      <c r="H19" s="135">
        <f>'[11]Tariff summary'!$P29</f>
        <v>0.107</v>
      </c>
    </row>
    <row r="20" spans="1:8" x14ac:dyDescent="0.25">
      <c r="A20" s="128" t="s">
        <v>171</v>
      </c>
      <c r="B20" s="129">
        <f>'[11]Tariff summary'!$J30</f>
        <v>9.9190000000000005</v>
      </c>
      <c r="C20" s="130">
        <f>'[11]Tariff summary'!$K30</f>
        <v>0.44900000000000001</v>
      </c>
      <c r="D20" s="131">
        <f>'[11]Tariff summary'!$L30</f>
        <v>4.9000000000000002E-2</v>
      </c>
      <c r="E20" s="132">
        <f>'[11]Tariff summary'!$M30</f>
        <v>78.459999999999994</v>
      </c>
      <c r="F20" s="132">
        <f>'[11]Tariff summary'!$N30</f>
        <v>10.91</v>
      </c>
      <c r="G20" s="132">
        <f>'[11]Tariff summary'!$O30</f>
        <v>10.91</v>
      </c>
      <c r="H20" s="135">
        <f>'[11]Tariff summary'!$P30</f>
        <v>0.107</v>
      </c>
    </row>
    <row r="21" spans="1:8" x14ac:dyDescent="0.25">
      <c r="A21" s="128" t="s">
        <v>172</v>
      </c>
      <c r="B21" s="129">
        <f>'[11]Tariff summary'!$J31</f>
        <v>9.9190000000000005</v>
      </c>
      <c r="C21" s="130">
        <f>'[11]Tariff summary'!$K31</f>
        <v>0.44900000000000001</v>
      </c>
      <c r="D21" s="131">
        <f>'[11]Tariff summary'!$L31</f>
        <v>4.9000000000000002E-2</v>
      </c>
      <c r="E21" s="132">
        <f>'[11]Tariff summary'!$M31</f>
        <v>127.66</v>
      </c>
      <c r="F21" s="132">
        <f>'[11]Tariff summary'!$N31</f>
        <v>10.91</v>
      </c>
      <c r="G21" s="132">
        <f>'[11]Tariff summary'!$O31</f>
        <v>10.91</v>
      </c>
      <c r="H21" s="135">
        <f>'[11]Tariff summary'!$P31</f>
        <v>0.107</v>
      </c>
    </row>
    <row r="22" spans="1:8" x14ac:dyDescent="0.25">
      <c r="A22" s="128" t="s">
        <v>173</v>
      </c>
      <c r="B22" s="129">
        <f>'[11]Tariff summary'!$J32</f>
        <v>9.9190000000000005</v>
      </c>
      <c r="C22" s="130">
        <f>'[11]Tariff summary'!$K32</f>
        <v>0.44900000000000001</v>
      </c>
      <c r="D22" s="131">
        <f>'[11]Tariff summary'!$L32</f>
        <v>4.9000000000000002E-2</v>
      </c>
      <c r="E22" s="132">
        <f>'[11]Tariff summary'!$M32</f>
        <v>188.67</v>
      </c>
      <c r="F22" s="132">
        <f>'[11]Tariff summary'!$N32</f>
        <v>10.91</v>
      </c>
      <c r="G22" s="132">
        <f>'[11]Tariff summary'!$O32</f>
        <v>10.91</v>
      </c>
      <c r="H22" s="135">
        <f>'[11]Tariff summary'!$P32</f>
        <v>0.107</v>
      </c>
    </row>
    <row r="23" spans="1:8" x14ac:dyDescent="0.25">
      <c r="A23" s="128" t="s">
        <v>174</v>
      </c>
      <c r="B23" s="129">
        <f>'[11]Tariff summary'!$J33</f>
        <v>9.9190000000000005</v>
      </c>
      <c r="C23" s="130">
        <f>'[11]Tariff summary'!$K33</f>
        <v>0.44900000000000001</v>
      </c>
      <c r="D23" s="131">
        <f>'[11]Tariff summary'!$L33</f>
        <v>4.9000000000000002E-2</v>
      </c>
      <c r="E23" s="132">
        <f>'[11]Tariff summary'!$M33</f>
        <v>392.96</v>
      </c>
      <c r="F23" s="132">
        <f>'[11]Tariff summary'!$N33</f>
        <v>10.91</v>
      </c>
      <c r="G23" s="132">
        <f>'[11]Tariff summary'!$O33</f>
        <v>10.91</v>
      </c>
      <c r="H23" s="135">
        <f>'[11]Tariff summary'!$P33</f>
        <v>0.107</v>
      </c>
    </row>
    <row r="24" spans="1:8" x14ac:dyDescent="0.25">
      <c r="A24" s="128" t="s">
        <v>175</v>
      </c>
      <c r="B24" s="129">
        <f>'[11]Tariff summary'!$J34</f>
        <v>7.32</v>
      </c>
      <c r="C24" s="130">
        <f>'[11]Tariff summary'!$K34</f>
        <v>0.26700000000000002</v>
      </c>
      <c r="D24" s="131">
        <f>'[11]Tariff summary'!$L34</f>
        <v>2.5999999999999999E-2</v>
      </c>
      <c r="E24" s="132">
        <f>'[11]Tariff summary'!$M34</f>
        <v>136.47999999999999</v>
      </c>
      <c r="F24" s="132">
        <f>'[11]Tariff summary'!$N34</f>
        <v>10.5</v>
      </c>
      <c r="G24" s="132">
        <f>'[11]Tariff summary'!$O34</f>
        <v>10.5</v>
      </c>
      <c r="H24" s="135">
        <f>'[11]Tariff summary'!$P34</f>
        <v>7.2999999999999995E-2</v>
      </c>
    </row>
    <row r="25" spans="1:8" x14ac:dyDescent="0.25">
      <c r="A25" s="128" t="s">
        <v>176</v>
      </c>
      <c r="B25" s="129">
        <f>'[11]Tariff summary'!$J35</f>
        <v>7.32</v>
      </c>
      <c r="C25" s="130">
        <f>'[11]Tariff summary'!$K35</f>
        <v>0.26700000000000002</v>
      </c>
      <c r="D25" s="131">
        <f>'[11]Tariff summary'!$L35</f>
        <v>2.5999999999999999E-2</v>
      </c>
      <c r="E25" s="132">
        <f>'[11]Tariff summary'!$M35</f>
        <v>499.46</v>
      </c>
      <c r="F25" s="132">
        <f>'[11]Tariff summary'!$N35</f>
        <v>10.5</v>
      </c>
      <c r="G25" s="132">
        <f>'[11]Tariff summary'!$O35</f>
        <v>10.5</v>
      </c>
      <c r="H25" s="135">
        <f>'[11]Tariff summary'!$P35</f>
        <v>7.2999999999999995E-2</v>
      </c>
    </row>
    <row r="26" spans="1:8" x14ac:dyDescent="0.25">
      <c r="A26" s="128" t="s">
        <v>177</v>
      </c>
      <c r="B26" s="129">
        <f>'[11]Tariff summary'!$J36</f>
        <v>7.32</v>
      </c>
      <c r="C26" s="130">
        <f>'[11]Tariff summary'!$K36</f>
        <v>0.26700000000000002</v>
      </c>
      <c r="D26" s="131">
        <f>'[11]Tariff summary'!$L36</f>
        <v>2.5999999999999999E-2</v>
      </c>
      <c r="E26" s="132">
        <f>'[11]Tariff summary'!$M36</f>
        <v>1048.02</v>
      </c>
      <c r="F26" s="132">
        <f>'[11]Tariff summary'!$N36</f>
        <v>10.5</v>
      </c>
      <c r="G26" s="132">
        <f>'[11]Tariff summary'!$O36</f>
        <v>10.5</v>
      </c>
      <c r="H26" s="135">
        <f>'[11]Tariff summary'!$P36</f>
        <v>7.2999999999999995E-2</v>
      </c>
    </row>
    <row r="27" spans="1:8" x14ac:dyDescent="0.25">
      <c r="A27" s="128" t="s">
        <v>178</v>
      </c>
      <c r="B27" s="129">
        <f>'[11]Tariff summary'!$J37</f>
        <v>7.32</v>
      </c>
      <c r="C27" s="130">
        <f>'[11]Tariff summary'!$K37</f>
        <v>0.26700000000000002</v>
      </c>
      <c r="D27" s="131">
        <f>'[11]Tariff summary'!$L37</f>
        <v>2.5999999999999999E-2</v>
      </c>
      <c r="E27" s="132">
        <f>'[11]Tariff summary'!$M37</f>
        <v>2126.37</v>
      </c>
      <c r="F27" s="132">
        <f>'[11]Tariff summary'!$N37</f>
        <v>10.5</v>
      </c>
      <c r="G27" s="132">
        <f>'[11]Tariff summary'!$O37</f>
        <v>10.5</v>
      </c>
      <c r="H27" s="135">
        <f>'[11]Tariff summary'!$P37</f>
        <v>7.2999999999999995E-2</v>
      </c>
    </row>
    <row r="28" spans="1:8" x14ac:dyDescent="0.25">
      <c r="A28" s="128" t="s">
        <v>179</v>
      </c>
      <c r="B28" s="129">
        <f>'[11]Tariff summary'!$J38</f>
        <v>7.32</v>
      </c>
      <c r="C28" s="130">
        <f>'[11]Tariff summary'!$K38</f>
        <v>0.26700000000000002</v>
      </c>
      <c r="D28" s="131">
        <f>'[11]Tariff summary'!$L38</f>
        <v>2.5999999999999999E-2</v>
      </c>
      <c r="E28" s="132">
        <f>'[11]Tariff summary'!$M38</f>
        <v>5077.43</v>
      </c>
      <c r="F28" s="132">
        <f>'[11]Tariff summary'!$N38</f>
        <v>10.5</v>
      </c>
      <c r="G28" s="132">
        <f>'[11]Tariff summary'!$O38</f>
        <v>10.5</v>
      </c>
      <c r="H28" s="135">
        <f>'[11]Tariff summary'!$P38</f>
        <v>7.2999999999999995E-2</v>
      </c>
    </row>
    <row r="29" spans="1:8" x14ac:dyDescent="0.25">
      <c r="A29" s="128" t="s">
        <v>180</v>
      </c>
      <c r="B29" s="136">
        <f>'[11]Tariff summary'!$J39</f>
        <v>71.59</v>
      </c>
      <c r="C29" s="137">
        <f>'[11]Tariff summary'!$K39</f>
        <v>3.6150000000000002</v>
      </c>
      <c r="D29" s="131">
        <f>'[11]Tariff summary'!$L39</f>
        <v>1.7989999999999999</v>
      </c>
      <c r="E29" s="133">
        <f>'[11]Tariff summary'!$M39</f>
        <v>0</v>
      </c>
      <c r="F29" s="133">
        <f>'[11]Tariff summary'!$N39</f>
        <v>0</v>
      </c>
      <c r="G29" s="133">
        <f>'[11]Tariff summary'!$O39</f>
        <v>0</v>
      </c>
      <c r="H29" s="134">
        <f>'[11]Tariff summary'!$P39</f>
        <v>0</v>
      </c>
    </row>
    <row r="30" spans="1:8" x14ac:dyDescent="0.25">
      <c r="A30" s="128" t="s">
        <v>181</v>
      </c>
      <c r="B30" s="129">
        <f>'[11]Tariff summary'!$J40</f>
        <v>-16</v>
      </c>
      <c r="C30" s="130">
        <f>'[11]Tariff summary'!$K40</f>
        <v>-1.048</v>
      </c>
      <c r="D30" s="131">
        <f>'[11]Tariff summary'!$L40</f>
        <v>-0.13</v>
      </c>
      <c r="E30" s="132">
        <f>'[11]Tariff summary'!$M40</f>
        <v>0</v>
      </c>
      <c r="F30" s="133">
        <f>'[11]Tariff summary'!$N40</f>
        <v>0</v>
      </c>
      <c r="G30" s="133">
        <f>'[11]Tariff summary'!$O40</f>
        <v>0</v>
      </c>
      <c r="H30" s="134">
        <f>'[11]Tariff summary'!$P40</f>
        <v>0</v>
      </c>
    </row>
    <row r="31" spans="1:8" x14ac:dyDescent="0.25">
      <c r="A31" s="128" t="s">
        <v>182</v>
      </c>
      <c r="B31" s="129">
        <f>'[11]Tariff summary'!$J41</f>
        <v>-13.632</v>
      </c>
      <c r="C31" s="130">
        <f>'[11]Tariff summary'!$K41</f>
        <v>-0.84399999999999997</v>
      </c>
      <c r="D31" s="131">
        <f>'[11]Tariff summary'!$L41</f>
        <v>-0.10299999999999999</v>
      </c>
      <c r="E31" s="132">
        <f>'[11]Tariff summary'!$M41</f>
        <v>0</v>
      </c>
      <c r="F31" s="133">
        <f>'[11]Tariff summary'!$N41</f>
        <v>0</v>
      </c>
      <c r="G31" s="133">
        <f>'[11]Tariff summary'!$O41</f>
        <v>0</v>
      </c>
      <c r="H31" s="134">
        <f>'[11]Tariff summary'!$P41</f>
        <v>0</v>
      </c>
    </row>
    <row r="32" spans="1:8" x14ac:dyDescent="0.25">
      <c r="A32" s="128" t="s">
        <v>183</v>
      </c>
      <c r="B32" s="129">
        <f>'[11]Tariff summary'!$J42</f>
        <v>-16</v>
      </c>
      <c r="C32" s="130">
        <f>'[11]Tariff summary'!$K42</f>
        <v>-1.048</v>
      </c>
      <c r="D32" s="131">
        <f>'[11]Tariff summary'!$L42</f>
        <v>-0.13</v>
      </c>
      <c r="E32" s="132">
        <f>'[11]Tariff summary'!$M42</f>
        <v>0</v>
      </c>
      <c r="F32" s="133">
        <f>'[11]Tariff summary'!$N42</f>
        <v>0</v>
      </c>
      <c r="G32" s="133">
        <f>'[11]Tariff summary'!$O42</f>
        <v>0</v>
      </c>
      <c r="H32" s="135">
        <f>'[11]Tariff summary'!$P42</f>
        <v>0.245</v>
      </c>
    </row>
    <row r="33" spans="1:8" x14ac:dyDescent="0.25">
      <c r="A33" s="128" t="s">
        <v>184</v>
      </c>
      <c r="B33" s="129">
        <f>'[11]Tariff summary'!$J43</f>
        <v>-16</v>
      </c>
      <c r="C33" s="130">
        <f>'[11]Tariff summary'!$K43</f>
        <v>-1.048</v>
      </c>
      <c r="D33" s="131">
        <f>'[11]Tariff summary'!$L43</f>
        <v>-0.13</v>
      </c>
      <c r="E33" s="132">
        <f>'[11]Tariff summary'!$M43</f>
        <v>0</v>
      </c>
      <c r="F33" s="133">
        <f>'[11]Tariff summary'!$N43</f>
        <v>0</v>
      </c>
      <c r="G33" s="133">
        <f>'[11]Tariff summary'!$O43</f>
        <v>0</v>
      </c>
      <c r="H33" s="134">
        <f>'[11]Tariff summary'!$P43</f>
        <v>0</v>
      </c>
    </row>
    <row r="34" spans="1:8" x14ac:dyDescent="0.25">
      <c r="A34" s="128" t="s">
        <v>185</v>
      </c>
      <c r="B34" s="129">
        <f>'[11]Tariff summary'!$J44</f>
        <v>-13.632</v>
      </c>
      <c r="C34" s="130">
        <f>'[11]Tariff summary'!$K44</f>
        <v>-0.84399999999999997</v>
      </c>
      <c r="D34" s="131">
        <f>'[11]Tariff summary'!$L44</f>
        <v>-0.10299999999999999</v>
      </c>
      <c r="E34" s="132">
        <f>'[11]Tariff summary'!$M44</f>
        <v>0</v>
      </c>
      <c r="F34" s="133">
        <f>'[11]Tariff summary'!$N44</f>
        <v>0</v>
      </c>
      <c r="G34" s="133">
        <f>'[11]Tariff summary'!$O44</f>
        <v>0</v>
      </c>
      <c r="H34" s="135">
        <f>'[11]Tariff summary'!$P44</f>
        <v>0.17499999999999999</v>
      </c>
    </row>
    <row r="35" spans="1:8" x14ac:dyDescent="0.25">
      <c r="A35" s="128" t="s">
        <v>186</v>
      </c>
      <c r="B35" s="129">
        <f>'[11]Tariff summary'!$J45</f>
        <v>-13.632</v>
      </c>
      <c r="C35" s="130">
        <f>'[11]Tariff summary'!$K45</f>
        <v>-0.84399999999999997</v>
      </c>
      <c r="D35" s="131">
        <f>'[11]Tariff summary'!$L45</f>
        <v>-0.10299999999999999</v>
      </c>
      <c r="E35" s="132">
        <f>'[11]Tariff summary'!$M45</f>
        <v>0</v>
      </c>
      <c r="F35" s="133">
        <f>'[11]Tariff summary'!$N45</f>
        <v>0</v>
      </c>
      <c r="G35" s="133">
        <f>'[11]Tariff summary'!$O45</f>
        <v>0</v>
      </c>
      <c r="H35" s="134">
        <f>'[11]Tariff summary'!$P45</f>
        <v>0</v>
      </c>
    </row>
    <row r="36" spans="1:8" x14ac:dyDescent="0.25">
      <c r="A36" s="128" t="s">
        <v>187</v>
      </c>
      <c r="B36" s="129">
        <f>'[11]Tariff summary'!$J46</f>
        <v>-8.3170000000000002</v>
      </c>
      <c r="C36" s="130">
        <f>'[11]Tariff summary'!$K46</f>
        <v>-0.377</v>
      </c>
      <c r="D36" s="131">
        <f>'[11]Tariff summary'!$L46</f>
        <v>-4.1000000000000002E-2</v>
      </c>
      <c r="E36" s="132">
        <f>'[11]Tariff summary'!$M46</f>
        <v>85.41</v>
      </c>
      <c r="F36" s="133">
        <f>'[11]Tariff summary'!$N46</f>
        <v>0</v>
      </c>
      <c r="G36" s="133">
        <f>'[11]Tariff summary'!$O46</f>
        <v>0</v>
      </c>
      <c r="H36" s="135">
        <f>'[11]Tariff summary'!$P46</f>
        <v>0.14699999999999999</v>
      </c>
    </row>
    <row r="37" spans="1:8" x14ac:dyDescent="0.25">
      <c r="A37" s="128" t="s">
        <v>188</v>
      </c>
      <c r="B37" s="129">
        <f>'[11]Tariff summary'!$J47</f>
        <v>-8.3170000000000002</v>
      </c>
      <c r="C37" s="130">
        <f>'[11]Tariff summary'!$K47</f>
        <v>-0.377</v>
      </c>
      <c r="D37" s="131">
        <f>'[11]Tariff summary'!$L47</f>
        <v>-4.1000000000000002E-2</v>
      </c>
      <c r="E37" s="132">
        <f>'[11]Tariff summary'!$M47</f>
        <v>85.41</v>
      </c>
      <c r="F37" s="133">
        <f>'[11]Tariff summary'!$N47</f>
        <v>0</v>
      </c>
      <c r="G37" s="133">
        <f>'[11]Tariff summary'!$O47</f>
        <v>0</v>
      </c>
      <c r="H37" s="134">
        <f>'[11]Tariff summary'!$P47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Table1</vt:lpstr>
      <vt:lpstr>Table2</vt:lpstr>
      <vt:lpstr>Table 1 ED2 Detailed</vt:lpstr>
      <vt:lpstr>CDCM Input Version</vt:lpstr>
      <vt:lpstr>Delta From Previous</vt:lpstr>
      <vt:lpstr>Table 2 v2</vt:lpstr>
      <vt:lpstr>Illustrative Prices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Wornell, Dave I.</cp:lastModifiedBy>
  <cp:lastPrinted>2023-03-06T12:02:14Z</cp:lastPrinted>
  <dcterms:created xsi:type="dcterms:W3CDTF">2023-03-03T13:06:52Z</dcterms:created>
  <dcterms:modified xsi:type="dcterms:W3CDTF">2024-08-05T08:26:22Z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