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er\04 - Customer Contracts and Supplier Liaison\07 - Charging\09 - DCUSA Cost Data Submissions\52 -August 2024\"/>
    </mc:Choice>
  </mc:AlternateContent>
  <xr:revisionPtr revIDLastSave="0" documentId="8_{3E346235-A8F5-4D71-9534-53E258CC963D}" xr6:coauthVersionLast="47" xr6:coauthVersionMax="47" xr10:uidLastSave="{00000000-0000-0000-0000-000000000000}"/>
  <bookViews>
    <workbookView xWindow="-28920" yWindow="6960" windowWidth="29040" windowHeight="15840" xr2:uid="{00000000-000D-0000-FFFF-FFFF00000000}"/>
  </bookViews>
  <sheets>
    <sheet name="Table1" sheetId="1" r:id="rId1"/>
    <sheet name="Table2" sheetId="2" r:id="rId2"/>
    <sheet name="Tab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K7" i="1" l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5" i="1"/>
  <c r="K37" i="1"/>
  <c r="K38" i="1"/>
  <c r="K39" i="1"/>
  <c r="K40" i="1"/>
  <c r="K41" i="1"/>
  <c r="K42" i="1" l="1"/>
  <c r="K34" i="1"/>
  <c r="K22" i="1"/>
  <c r="K12" i="1"/>
  <c r="J12" i="1"/>
  <c r="J34" i="1"/>
  <c r="J42" i="1"/>
  <c r="J22" i="1"/>
  <c r="K36" i="1" l="1"/>
  <c r="K43" i="1" s="1"/>
  <c r="J36" i="1"/>
  <c r="J43" i="1" s="1"/>
  <c r="K51" i="1" l="1"/>
  <c r="K52" i="1" s="1"/>
  <c r="K53" i="1"/>
  <c r="J51" i="1"/>
  <c r="J52" i="1" s="1"/>
  <c r="K54" i="1" l="1"/>
  <c r="B2" i="2" l="1"/>
  <c r="I8" i="2"/>
  <c r="F8" i="2"/>
  <c r="I9" i="2"/>
  <c r="F9" i="2"/>
  <c r="I14" i="2"/>
  <c r="F14" i="2"/>
  <c r="I15" i="2"/>
  <c r="F15" i="2"/>
  <c r="I13" i="2"/>
  <c r="F13" i="2"/>
  <c r="I12" i="2"/>
  <c r="F12" i="2"/>
  <c r="I11" i="2"/>
  <c r="F11" i="2"/>
  <c r="I10" i="2"/>
  <c r="F10" i="2"/>
  <c r="G8" i="2" l="1"/>
  <c r="E8" i="2"/>
  <c r="J8" i="2"/>
  <c r="H8" i="2"/>
  <c r="G12" i="2"/>
  <c r="J12" i="2"/>
  <c r="G17" i="2"/>
  <c r="G10" i="2"/>
  <c r="H10" i="2"/>
  <c r="E11" i="2"/>
  <c r="E13" i="2"/>
  <c r="H11" i="2"/>
  <c r="J13" i="2"/>
  <c r="E9" i="2"/>
  <c r="G9" i="2"/>
  <c r="H9" i="2"/>
  <c r="J10" i="2"/>
  <c r="J9" i="2"/>
  <c r="E14" i="2"/>
  <c r="G15" i="2"/>
  <c r="G14" i="2"/>
  <c r="E15" i="2"/>
  <c r="E17" i="2"/>
  <c r="J14" i="2"/>
  <c r="H15" i="2"/>
  <c r="H14" i="2"/>
  <c r="J15" i="2"/>
  <c r="I34" i="1"/>
  <c r="G13" i="2" l="1"/>
  <c r="E12" i="2"/>
  <c r="H12" i="2"/>
  <c r="H13" i="2"/>
  <c r="E10" i="2"/>
  <c r="G11" i="2"/>
  <c r="J11" i="2"/>
  <c r="I42" i="1"/>
  <c r="H42" i="1" l="1"/>
  <c r="G42" i="1" l="1"/>
  <c r="F42" i="1" l="1"/>
  <c r="E42" i="1" l="1"/>
  <c r="D42" i="1"/>
  <c r="C2" i="3"/>
  <c r="C1" i="3"/>
  <c r="D48" i="1" l="1"/>
  <c r="E48" i="1" l="1"/>
  <c r="D22" i="1" l="1"/>
  <c r="E22" i="1"/>
  <c r="E12" i="1" l="1"/>
  <c r="E34" i="1" l="1"/>
  <c r="E36" i="1" s="1"/>
  <c r="E43" i="1" l="1"/>
  <c r="F34" i="1"/>
  <c r="G34" i="1" l="1"/>
  <c r="H34" i="1"/>
  <c r="E49" i="1"/>
  <c r="D12" i="1" l="1"/>
  <c r="D34" i="1" l="1"/>
  <c r="D36" i="1" s="1"/>
  <c r="D43" i="1" l="1"/>
  <c r="D52" i="1"/>
  <c r="E53" i="1"/>
  <c r="D49" i="1" l="1"/>
  <c r="F48" i="1" l="1"/>
  <c r="E54" i="1" l="1"/>
  <c r="E52" i="1"/>
  <c r="F54" i="1" l="1"/>
  <c r="G54" i="1" l="1"/>
  <c r="G48" i="1" l="1"/>
  <c r="I22" i="1" l="1"/>
  <c r="H22" i="1"/>
  <c r="F22" i="1" l="1"/>
  <c r="G22" i="1" l="1"/>
  <c r="F12" i="1" l="1"/>
  <c r="F36" i="1" s="1"/>
  <c r="F53" i="1" s="1"/>
  <c r="F52" i="1" l="1"/>
  <c r="F43" i="1"/>
  <c r="F49" i="1" s="1"/>
  <c r="G12" i="1" l="1"/>
  <c r="G36" i="1" s="1"/>
  <c r="G53" i="1" s="1"/>
  <c r="G52" i="1" l="1"/>
  <c r="C7" i="2" s="1"/>
  <c r="G43" i="1"/>
  <c r="B7" i="2" l="1"/>
  <c r="D7" i="2"/>
  <c r="G49" i="1"/>
  <c r="H12" i="1" l="1"/>
  <c r="H36" i="1" s="1"/>
  <c r="H43" i="1" s="1"/>
  <c r="F16" i="2" s="1"/>
  <c r="G16" i="2" l="1"/>
  <c r="E16" i="2"/>
  <c r="H53" i="1"/>
  <c r="H52" i="1"/>
  <c r="F7" i="2" s="1"/>
  <c r="E7" i="2" l="1"/>
  <c r="G7" i="2"/>
  <c r="H48" i="1"/>
  <c r="H49" i="1" s="1"/>
  <c r="H54" i="1"/>
  <c r="I12" i="1" l="1"/>
  <c r="I36" i="1" s="1"/>
  <c r="I43" i="1" l="1"/>
  <c r="J53" i="1"/>
  <c r="I51" i="1"/>
  <c r="I17" i="2" s="1"/>
  <c r="I53" i="1"/>
  <c r="J17" i="2" l="1"/>
  <c r="H17" i="2"/>
  <c r="I44" i="1"/>
  <c r="I48" i="1" s="1"/>
  <c r="I49" i="1" s="1"/>
  <c r="I50" i="1" s="1"/>
  <c r="I16" i="2"/>
  <c r="I52" i="1"/>
  <c r="J54" i="1"/>
  <c r="I54" i="1"/>
  <c r="J44" i="1" l="1"/>
  <c r="K44" i="1" s="1"/>
  <c r="K48" i="1" s="1"/>
  <c r="K49" i="1" s="1"/>
  <c r="K50" i="1" s="1"/>
  <c r="J16" i="2"/>
  <c r="H16" i="2"/>
  <c r="J48" i="1" l="1"/>
  <c r="J49" i="1" s="1"/>
  <c r="J50" i="1" s="1"/>
</calcChain>
</file>

<file path=xl/sharedStrings.xml><?xml version="1.0" encoding="utf-8"?>
<sst xmlns="http://schemas.openxmlformats.org/spreadsheetml/2006/main" count="255" uniqueCount="201">
  <si>
    <t>Pass-Through Transmission Connection Point Charges (B3)</t>
  </si>
  <si>
    <t>Company Name:</t>
  </si>
  <si>
    <t>Date:</t>
  </si>
  <si>
    <t>Illustrative Charging Year:</t>
  </si>
  <si>
    <t>4. Revenue raised outside CDCM - DUoS rebate (H4)</t>
  </si>
  <si>
    <t>Significant others (NIA)</t>
  </si>
  <si>
    <t>2021/22</t>
  </si>
  <si>
    <t>2022/23</t>
  </si>
  <si>
    <t>Exceeded capacity charge p/kVA/day</t>
  </si>
  <si>
    <t>Description</t>
  </si>
  <si>
    <t>Regulatory Year</t>
  </si>
  <si>
    <t>Regulatory Year t</t>
  </si>
  <si>
    <t>Regulatory Year t+1</t>
  </si>
  <si>
    <t>Regulatory Year t+2</t>
  </si>
  <si>
    <t>£m</t>
  </si>
  <si>
    <t>Low</t>
  </si>
  <si>
    <t>Central</t>
  </si>
  <si>
    <t>High</t>
  </si>
  <si>
    <t>Under/over recovery</t>
  </si>
  <si>
    <t>RPI True-up</t>
  </si>
  <si>
    <t>Annual Iteration</t>
  </si>
  <si>
    <t>Broad Measure of Customer Service</t>
  </si>
  <si>
    <t>Quality of Service</t>
  </si>
  <si>
    <t>Incentive on Connections Engagement</t>
  </si>
  <si>
    <t>Time to Connect</t>
  </si>
  <si>
    <t>Low Carbon Network Fund</t>
  </si>
  <si>
    <t>Final Collected Revenue Forecast</t>
  </si>
  <si>
    <t>2023/24</t>
  </si>
  <si>
    <t>t+1</t>
  </si>
  <si>
    <t>Pass-through Supplier of Last Resort Adjustment (B7)</t>
  </si>
  <si>
    <t>SLR</t>
  </si>
  <si>
    <t>Pass-through Eligible Bad Debt Adjustment (B8)</t>
  </si>
  <si>
    <t>EBD</t>
  </si>
  <si>
    <t>Pass-Through Others (B9)</t>
  </si>
  <si>
    <t>Allowed Pass-Through Items (B): [B = B1 + B2 + B3 + B4 + B5 + B6 + B7 + B8 + B9]</t>
  </si>
  <si>
    <t>RF</t>
  </si>
  <si>
    <t>Electricity North West</t>
  </si>
  <si>
    <t>DCUSA Schedule 15 - Table 1 information</t>
  </si>
  <si>
    <t>Title:</t>
  </si>
  <si>
    <t>Licence Term</t>
  </si>
  <si>
    <t>CRC</t>
  </si>
  <si>
    <t>Assumptions</t>
  </si>
  <si>
    <t>t-1</t>
  </si>
  <si>
    <t>t</t>
  </si>
  <si>
    <t>t+2</t>
  </si>
  <si>
    <t>t+3</t>
  </si>
  <si>
    <t>t+4</t>
  </si>
  <si>
    <t>Base Demand Revenue before inflation (A1)</t>
  </si>
  <si>
    <t>PU</t>
  </si>
  <si>
    <t>CRC2A</t>
  </si>
  <si>
    <t>Annual Iteration adjustment before inflation (A2)</t>
  </si>
  <si>
    <t>MOD</t>
  </si>
  <si>
    <t>RPI True-up before inflation (A3)</t>
  </si>
  <si>
    <t>TRU</t>
  </si>
  <si>
    <t>Price index adjustment (A4)</t>
  </si>
  <si>
    <t>RPIF</t>
  </si>
  <si>
    <t>Base demand revenue (A): [A = (A1 + A2 + A3) * A4]</t>
  </si>
  <si>
    <t>BR</t>
  </si>
  <si>
    <t>A = (A1 + A2 + A3) * A4</t>
  </si>
  <si>
    <t>Pass-Through Licence Fees (B1)</t>
  </si>
  <si>
    <t>LF</t>
  </si>
  <si>
    <t>CRC2B</t>
  </si>
  <si>
    <t>Pass-Through Business Rates (B2)</t>
  </si>
  <si>
    <t>RB</t>
  </si>
  <si>
    <t>TB</t>
  </si>
  <si>
    <t>Pass-through Smart Meter Communication Licence Costs (B4)</t>
  </si>
  <si>
    <t>SMC</t>
  </si>
  <si>
    <t>Pass-through Smart Meter IT Costs (B5)</t>
  </si>
  <si>
    <t>SMIT</t>
  </si>
  <si>
    <t>Pass-through Ring Fence Costs (B6)</t>
  </si>
  <si>
    <t>PT</t>
  </si>
  <si>
    <r>
      <rPr>
        <sz val="12"/>
        <rFont val="Calibri"/>
        <family val="2"/>
        <scheme val="minor"/>
      </rPr>
      <t>B = B1 + B2
+ B3 + B4 + B5 + B6 + B7</t>
    </r>
  </si>
  <si>
    <t>Broad Measure of Customer Service incentive (C1)</t>
  </si>
  <si>
    <t>BM</t>
  </si>
  <si>
    <t>CRC2C</t>
  </si>
  <si>
    <t>Quality of Service incentive (C2)</t>
  </si>
  <si>
    <t>IQ</t>
  </si>
  <si>
    <t>CRC2D</t>
  </si>
  <si>
    <t>Connections Engagement incentive (C3)</t>
  </si>
  <si>
    <t>ICE</t>
  </si>
  <si>
    <t>CRC2E</t>
  </si>
  <si>
    <t>Time to Connect incentive (C4)</t>
  </si>
  <si>
    <t>TTC</t>
  </si>
  <si>
    <t>CRC2F</t>
  </si>
  <si>
    <t>Losses Discretionary Reward incentive (C5)</t>
  </si>
  <si>
    <t>LDR</t>
  </si>
  <si>
    <t>CRC2G</t>
  </si>
  <si>
    <t>Network Innovation Allowance (C6)</t>
  </si>
  <si>
    <t>NIA</t>
  </si>
  <si>
    <t>CRC2H</t>
  </si>
  <si>
    <t>Low Carbon Networks Fund (C7)</t>
  </si>
  <si>
    <t>LCN1</t>
  </si>
  <si>
    <t>CRC2J</t>
  </si>
  <si>
    <t>LCN2</t>
  </si>
  <si>
    <t>Connection Guaranteed Standards Systems &amp; Processes penalty (C8)</t>
  </si>
  <si>
    <t>AUM, CGSRA</t>
  </si>
  <si>
    <t>CRC2K- L</t>
  </si>
  <si>
    <t>Residual Losses and Growth incentive (C9)</t>
  </si>
  <si>
    <t>PPL</t>
  </si>
  <si>
    <t>CRC2M</t>
  </si>
  <si>
    <t>GTA</t>
  </si>
  <si>
    <r>
      <rPr>
        <b/>
        <sz val="12"/>
        <rFont val="Calibri"/>
        <family val="2"/>
        <scheme val="minor"/>
      </rPr>
      <t>Incentive Revenue and Other Adjustments (C):
[C = C1 + C2 + C3 + C4 + C5 + C6 + C7 + C8 + C9]</t>
    </r>
  </si>
  <si>
    <r>
      <rPr>
        <sz val="12"/>
        <rFont val="Calibri"/>
        <family val="2"/>
        <scheme val="minor"/>
      </rPr>
      <t>C = C1 + C2
+ C3 + C4 + C5 + C6 + C7 + C8 + C9</t>
    </r>
  </si>
  <si>
    <t>Correction Factor (D)</t>
  </si>
  <si>
    <t>-K</t>
  </si>
  <si>
    <t>Total allowed Revenue (E): [E = A + B + C + D]</t>
  </si>
  <si>
    <t>AR</t>
  </si>
  <si>
    <t>E = A + B + C + D</t>
  </si>
  <si>
    <t>Other 1. Excluded services - Top-up, standby, and enhanced system security (F1) (see note 1)</t>
  </si>
  <si>
    <t>DRS4</t>
  </si>
  <si>
    <t>CRC5C</t>
  </si>
  <si>
    <t>Other 2. Excluded services - Revenue protection services (F2) (see note 1)</t>
  </si>
  <si>
    <t>DRS5</t>
  </si>
  <si>
    <t>Other 3. Excluded services - Miscellaneous (F3) (see note 1)</t>
  </si>
  <si>
    <t>DRS9</t>
  </si>
  <si>
    <t>Other 4. blank or if required please provide description (F4)</t>
  </si>
  <si>
    <t>Other 5. blank or if required please provide description (F5)</t>
  </si>
  <si>
    <r>
      <rPr>
        <b/>
        <sz val="12"/>
        <rFont val="Calibri"/>
        <family val="2"/>
        <scheme val="minor"/>
      </rPr>
      <t>Total other revenue recovered by Use of System Charges (F):
[F = F1 + F2 + F3 + F4 + F5]</t>
    </r>
  </si>
  <si>
    <r>
      <rPr>
        <sz val="12"/>
        <rFont val="Calibri"/>
        <family val="2"/>
        <scheme val="minor"/>
      </rPr>
      <t>F = F1 + F2
+ F3 + F4 + F5</t>
    </r>
  </si>
  <si>
    <r>
      <rPr>
        <b/>
        <sz val="12"/>
        <rFont val="Calibri"/>
        <family val="2"/>
        <scheme val="minor"/>
      </rPr>
      <t>Total Revenue for Use of System Charges (G):
[G = E + F]</t>
    </r>
  </si>
  <si>
    <t>G = E + F</t>
  </si>
  <si>
    <t>1. Revenue raised outside CDCM - EDCM and Certain Interconnector Revenue (H1)</t>
  </si>
  <si>
    <t>2. Revenue raised outside CDCM - Voluntary under-recovery (H2)</t>
  </si>
  <si>
    <t>3. Revenue raised outside CDCM - blank or if required please provide description (H3)</t>
  </si>
  <si>
    <r>
      <rPr>
        <b/>
        <sz val="12"/>
        <rFont val="Calibri"/>
        <family val="2"/>
        <scheme val="minor"/>
      </rPr>
      <t>Total Revenue to be raised outside the CDCM (H):
[H = H1 + H2 + H3 + H4]</t>
    </r>
  </si>
  <si>
    <r>
      <rPr>
        <sz val="12"/>
        <rFont val="Calibri"/>
        <family val="2"/>
        <scheme val="minor"/>
      </rPr>
      <t>H = H1 + H2
+ H3 + H4</t>
    </r>
  </si>
  <si>
    <r>
      <rPr>
        <b/>
        <sz val="12"/>
        <rFont val="Calibri"/>
        <family val="2"/>
        <scheme val="minor"/>
      </rPr>
      <t>Latest forecast of CDCM Revenue (I):
[I = G - H]</t>
    </r>
  </si>
  <si>
    <t>I = G - H</t>
  </si>
  <si>
    <t>CDCM Revenue Used in Charging Model</t>
  </si>
  <si>
    <t>Final Collected Revenue Forecast (J)</t>
  </si>
  <si>
    <t>Forecast Over / (Under) Recovery [being (J - F - E + H2)]</t>
  </si>
  <si>
    <t>J - F - E + H2</t>
  </si>
  <si>
    <t>Forecast overall percentage change to Allowed Revenue (K)</t>
  </si>
  <si>
    <t>Overall % change to Use of System Charges effective 1st April of Regulatory Year to balance (L)</t>
  </si>
  <si>
    <t>Note 1: Cost categories associated with excluded services should only be populated if the Company recovers the costs of providing these services from Use of System Charges</t>
  </si>
  <si>
    <t>DCUSA Schedule 15 - Table 2 information</t>
  </si>
  <si>
    <r>
      <rPr>
        <sz val="12"/>
        <rFont val="Calibri"/>
        <family val="2"/>
        <scheme val="minor"/>
      </rPr>
      <t>HB, SEC, UNC</t>
    </r>
  </si>
  <si>
    <t>PCs</t>
  </si>
  <si>
    <t>Unit rate 1 p/kWh</t>
  </si>
  <si>
    <t>Unit rate 2 p/kWh</t>
  </si>
  <si>
    <t>Unit rate 3 p/kWh</t>
  </si>
  <si>
    <t>Fixed charge p/MPAN/day</t>
  </si>
  <si>
    <t>Capacity charge p/kVA/day</t>
  </si>
  <si>
    <t>Reactive power charge p/kVArh</t>
  </si>
  <si>
    <t>PLEASE NOTE THAT THESE ARE ILLUSTRATIVE TARIFFS ONLY AND ARE NOT TO BE CONSIDERED TO REPRESENT THE FINAL TARIFFS WHICH WILL BE APPLIED BY THIS COMPANY</t>
  </si>
  <si>
    <t>DCUSA Schedule 15 - Table 3 Illustrative Tariffs</t>
  </si>
  <si>
    <t>Information</t>
  </si>
  <si>
    <t>Domestic Aggregated (Related MPAN)</t>
  </si>
  <si>
    <t>Non-Domestic Aggregated (Related MPAN)</t>
  </si>
  <si>
    <t>Unmetered Supplies</t>
  </si>
  <si>
    <t>LV Generation Aggregated</t>
  </si>
  <si>
    <t>LV Sub Generation Aggregated</t>
  </si>
  <si>
    <t>LV Generation Site Specific</t>
  </si>
  <si>
    <t>LV Sub Generation Site Specific</t>
  </si>
  <si>
    <t>HV Generation Site Specific</t>
  </si>
  <si>
    <t>Not recovered from Use of System Charges</t>
  </si>
  <si>
    <t>EHV revenue is from EDCM model</t>
  </si>
  <si>
    <t>2024/25</t>
  </si>
  <si>
    <t>LV Generation Site Specific no RP Charge</t>
  </si>
  <si>
    <t>LV Sub Generation Site Specific no RP Charge</t>
  </si>
  <si>
    <t>HV Generation Site Specific no RP Charge</t>
  </si>
  <si>
    <t>Domestic Aggregated with Residual</t>
  </si>
  <si>
    <t>Non-Domestic Aggregated No Residual</t>
  </si>
  <si>
    <t>Non-Domestic Aggregated Band 1</t>
  </si>
  <si>
    <t>Non-Domestic Aggregated Band 2</t>
  </si>
  <si>
    <t>Non-Domestic Aggregated Band 3</t>
  </si>
  <si>
    <t>Non-Domestic Aggregated Band 4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</si>
  <si>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</si>
  <si>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</si>
  <si>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</si>
  <si>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</si>
  <si>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</si>
  <si>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</si>
  <si>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</si>
  <si>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</si>
  <si>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</si>
  <si>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</si>
  <si>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</si>
  <si>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</si>
  <si>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</si>
  <si>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</si>
  <si>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</si>
  <si>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2025/26</t>
  </si>
  <si>
    <t>RIIO-ED1</t>
  </si>
  <si>
    <t>RIIO-ED2</t>
  </si>
  <si>
    <t>2026/27</t>
  </si>
  <si>
    <t>Splice Index</t>
  </si>
  <si>
    <t>RPI</t>
  </si>
  <si>
    <t>RPI/CPIH</t>
  </si>
  <si>
    <t>PIt</t>
  </si>
  <si>
    <t>2023/24 and 2024/25 includes legacy ED1 values</t>
  </si>
  <si>
    <t>Total Allowed Revenue</t>
  </si>
  <si>
    <t>t-2</t>
  </si>
  <si>
    <t>2027/28</t>
  </si>
  <si>
    <t>RIIO-ED3</t>
  </si>
  <si>
    <t>2028/29</t>
  </si>
  <si>
    <t>t-3</t>
  </si>
  <si>
    <t>Note: no basis for forecasting values in RIIO-ED3, assumed as per final year of ED2 with 28/29 CPIH/RPI of 2/3%</t>
  </si>
  <si>
    <t>Includes Legacy Correction Factor</t>
  </si>
  <si>
    <t>Allowance of £1.7m in 20/21 prices across ED2</t>
  </si>
  <si>
    <t>2026/27 (t+2)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</si>
</sst>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##0;###0"/>
    <numFmt numFmtId="165" formatCode="0.0"/>
    <numFmt numFmtId="166" formatCode="0.000"/>
    <numFmt numFmtId="167" formatCode="mmm\ yyyy"/>
    <numFmt numFmtId="168" formatCode="0.00000"/>
    <numFmt numFmtId="169" formatCode="0.000000"/>
    <numFmt numFmtId="170" formatCode="0.0000000"/>
    <numFmt numFmtId="171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EBEBE"/>
      </patternFill>
    </fill>
    <fill>
      <patternFill patternType="solid">
        <fgColor rgb="FF95959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7" fontId="0" fillId="0" borderId="0" xfId="0" applyNumberFormat="1" applyAlignment="1">
      <alignment horizontal="left" vertical="top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  <xf numFmtId="165" fontId="2" fillId="0" borderId="5" xfId="0" applyNumberFormat="1" applyFont="1" applyBorder="1" applyAlignment="1">
      <alignment horizontal="center" vertical="center" wrapText="1"/>
    </xf>
    <xf numFmtId="9" fontId="3" fillId="0" borderId="5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8" xfId="0" applyFont="1" applyBorder="1" applyAlignment="1">
      <alignment horizontal="centerContinuous" vertical="top" wrapText="1"/>
    </xf>
    <xf numFmtId="0" fontId="2" fillId="0" borderId="14" xfId="0" applyFont="1" applyBorder="1" applyAlignment="1">
      <alignment horizontal="centerContinuous" vertical="top" wrapText="1"/>
    </xf>
    <xf numFmtId="0" fontId="2" fillId="0" borderId="9" xfId="0" applyFont="1" applyBorder="1" applyAlignment="1">
      <alignment horizontal="centerContinuous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167" fontId="4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0" borderId="5" xfId="0" applyFont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0" xfId="0" applyNumberFormat="1" applyFont="1"/>
    <xf numFmtId="166" fontId="4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/>
    <xf numFmtId="169" fontId="4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top" wrapText="1"/>
    </xf>
    <xf numFmtId="168" fontId="4" fillId="0" borderId="0" xfId="0" applyNumberFormat="1" applyFont="1"/>
    <xf numFmtId="0" fontId="4" fillId="2" borderId="5" xfId="0" applyFont="1" applyFill="1" applyBorder="1" applyAlignment="1">
      <alignment horizontal="center" vertical="center" wrapText="1"/>
    </xf>
    <xf numFmtId="170" fontId="4" fillId="0" borderId="0" xfId="0" applyNumberFormat="1" applyFont="1"/>
    <xf numFmtId="165" fontId="4" fillId="2" borderId="5" xfId="0" applyNumberFormat="1" applyFont="1" applyFill="1" applyBorder="1" applyAlignment="1">
      <alignment horizontal="center" vertical="center" wrapText="1"/>
    </xf>
    <xf numFmtId="9" fontId="4" fillId="0" borderId="5" xfId="1" applyFont="1" applyFill="1" applyBorder="1" applyAlignment="1">
      <alignment horizontal="center" vertical="center" wrapText="1"/>
    </xf>
    <xf numFmtId="43" fontId="4" fillId="0" borderId="0" xfId="0" applyNumberFormat="1" applyFont="1"/>
    <xf numFmtId="0" fontId="3" fillId="0" borderId="0" xfId="0" applyFont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top" wrapText="1"/>
    </xf>
    <xf numFmtId="165" fontId="4" fillId="3" borderId="1" xfId="0" applyNumberFormat="1" applyFont="1" applyFill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1" fontId="4" fillId="0" borderId="1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166" fontId="4" fillId="0" borderId="0" xfId="0" applyNumberFormat="1" applyFont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 wrapText="1"/>
    </xf>
    <xf numFmtId="2" fontId="2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">
    <dxf>
      <font>
        <color theme="0"/>
      </font>
    </dxf>
  </dxfs>
  <tableStyles count="0" defaultTableStyle="TableStyleMedium2" defaultPivotStyle="PivotStyleLight16"/>
  <colors>
    <mruColors>
      <color rgb="FFF8F1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6"/>
  <sheetViews>
    <sheetView tabSelected="1" zoomScale="75" zoomScaleNormal="75" workbookViewId="0">
      <selection activeCell="K49" sqref="K49"/>
    </sheetView>
  </sheetViews>
  <sheetFormatPr defaultColWidth="8.7109375" defaultRowHeight="15.75" x14ac:dyDescent="0.25"/>
  <cols>
    <col min="1" max="1" width="56.42578125" style="26" customWidth="1"/>
    <col min="2" max="2" width="15" style="26" customWidth="1"/>
    <col min="3" max="3" width="9.140625" style="26" bestFit="1" customWidth="1"/>
    <col min="4" max="11" width="12.28515625" style="26" customWidth="1"/>
    <col min="12" max="12" width="57" style="26" customWidth="1"/>
    <col min="13" max="13" width="6.42578125" style="26" bestFit="1" customWidth="1"/>
    <col min="14" max="14" width="10.42578125" style="26" customWidth="1"/>
    <col min="15" max="22" width="11.5703125" style="26" customWidth="1"/>
    <col min="23" max="16384" width="8.7109375" style="26"/>
  </cols>
  <sheetData>
    <row r="1" spans="1:21" x14ac:dyDescent="0.25">
      <c r="A1" s="6" t="s">
        <v>1</v>
      </c>
      <c r="B1" s="25" t="s">
        <v>36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1" x14ac:dyDescent="0.25">
      <c r="A2" s="6" t="s">
        <v>2</v>
      </c>
      <c r="B2" s="27">
        <v>45413</v>
      </c>
      <c r="C2" s="25"/>
      <c r="D2" s="62"/>
      <c r="E2" s="62"/>
      <c r="F2" s="62"/>
      <c r="G2" s="62"/>
      <c r="H2" s="62"/>
      <c r="I2" s="62"/>
      <c r="J2" s="62"/>
      <c r="K2" s="62"/>
      <c r="L2" s="25"/>
    </row>
    <row r="3" spans="1:21" x14ac:dyDescent="0.25">
      <c r="A3" s="6" t="s">
        <v>38</v>
      </c>
      <c r="B3" s="28" t="s">
        <v>37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21" x14ac:dyDescent="0.25">
      <c r="A4" s="2" t="s">
        <v>9</v>
      </c>
      <c r="B4" s="9" t="s">
        <v>39</v>
      </c>
      <c r="C4" s="9" t="s">
        <v>40</v>
      </c>
      <c r="D4" s="60" t="s">
        <v>183</v>
      </c>
      <c r="E4" s="60" t="s">
        <v>183</v>
      </c>
      <c r="F4" s="61" t="s">
        <v>184</v>
      </c>
      <c r="G4" s="64" t="s">
        <v>184</v>
      </c>
      <c r="H4" s="61" t="s">
        <v>184</v>
      </c>
      <c r="I4" s="61" t="s">
        <v>184</v>
      </c>
      <c r="J4" s="61" t="s">
        <v>184</v>
      </c>
      <c r="K4" s="60" t="s">
        <v>194</v>
      </c>
      <c r="L4" s="9" t="s">
        <v>41</v>
      </c>
    </row>
    <row r="5" spans="1:21" ht="47.25" x14ac:dyDescent="0.25">
      <c r="A5" s="9" t="s">
        <v>10</v>
      </c>
      <c r="B5" s="9"/>
      <c r="C5" s="9"/>
      <c r="D5" s="11" t="s">
        <v>196</v>
      </c>
      <c r="E5" s="11" t="s">
        <v>192</v>
      </c>
      <c r="F5" s="11" t="s">
        <v>42</v>
      </c>
      <c r="G5" s="11" t="s">
        <v>43</v>
      </c>
      <c r="H5" s="11" t="s">
        <v>28</v>
      </c>
      <c r="I5" s="11" t="s">
        <v>44</v>
      </c>
      <c r="J5" s="11" t="s">
        <v>45</v>
      </c>
      <c r="K5" s="11" t="s">
        <v>46</v>
      </c>
      <c r="L5" s="10" t="s">
        <v>197</v>
      </c>
    </row>
    <row r="6" spans="1:21" x14ac:dyDescent="0.25">
      <c r="A6" s="9"/>
      <c r="B6" s="9"/>
      <c r="C6" s="9"/>
      <c r="D6" s="11" t="s">
        <v>6</v>
      </c>
      <c r="E6" s="11" t="s">
        <v>7</v>
      </c>
      <c r="F6" s="11" t="s">
        <v>27</v>
      </c>
      <c r="G6" s="11" t="s">
        <v>157</v>
      </c>
      <c r="H6" s="11" t="s">
        <v>182</v>
      </c>
      <c r="I6" s="11" t="s">
        <v>185</v>
      </c>
      <c r="J6" s="11" t="s">
        <v>193</v>
      </c>
      <c r="K6" s="11" t="s">
        <v>195</v>
      </c>
      <c r="L6" s="10"/>
    </row>
    <row r="7" spans="1:21" x14ac:dyDescent="0.25">
      <c r="A7" s="44" t="s">
        <v>47</v>
      </c>
      <c r="B7" s="13" t="s">
        <v>48</v>
      </c>
      <c r="C7" s="44" t="s">
        <v>49</v>
      </c>
      <c r="D7" s="30">
        <v>350.2</v>
      </c>
      <c r="E7" s="30">
        <v>350.22999999999996</v>
      </c>
      <c r="F7" s="30">
        <v>365.81412015205132</v>
      </c>
      <c r="G7" s="30">
        <v>378.57957642880274</v>
      </c>
      <c r="H7" s="30">
        <v>381.00000013018143</v>
      </c>
      <c r="I7" s="30">
        <v>373.79778952992893</v>
      </c>
      <c r="J7" s="30">
        <v>377.176028951592</v>
      </c>
      <c r="K7" s="30">
        <f>+J7</f>
        <v>377.176028951592</v>
      </c>
      <c r="L7" s="29"/>
      <c r="M7" s="31"/>
      <c r="N7" s="31"/>
      <c r="O7" s="31"/>
      <c r="P7" s="31"/>
      <c r="Q7" s="31"/>
    </row>
    <row r="8" spans="1:21" x14ac:dyDescent="0.25">
      <c r="A8" s="44" t="s">
        <v>50</v>
      </c>
      <c r="B8" s="13" t="s">
        <v>51</v>
      </c>
      <c r="C8" s="44" t="s">
        <v>49</v>
      </c>
      <c r="D8" s="30">
        <v>-13.563297980159973</v>
      </c>
      <c r="E8" s="30">
        <v>-24.211852300949261</v>
      </c>
      <c r="F8" s="30">
        <v>-0.60692550580425897</v>
      </c>
      <c r="G8" s="30">
        <v>-0.63104082748655177</v>
      </c>
      <c r="H8" s="30">
        <v>-0.65714710212635008</v>
      </c>
      <c r="I8" s="30">
        <v>-0.68438596175021227</v>
      </c>
      <c r="J8" s="30">
        <v>-0.71283458885813966</v>
      </c>
      <c r="K8" s="30">
        <f>+J8</f>
        <v>-0.71283458885813966</v>
      </c>
      <c r="L8" s="29"/>
      <c r="M8" s="31"/>
      <c r="N8" s="31"/>
      <c r="O8" s="31"/>
      <c r="P8" s="31"/>
      <c r="Q8" s="31"/>
    </row>
    <row r="9" spans="1:21" x14ac:dyDescent="0.25">
      <c r="A9" s="44" t="s">
        <v>52</v>
      </c>
      <c r="B9" s="13" t="s">
        <v>53</v>
      </c>
      <c r="C9" s="44" t="s">
        <v>49</v>
      </c>
      <c r="D9" s="30">
        <v>-3.1795977421194279</v>
      </c>
      <c r="E9" s="30">
        <v>-4.5567107419123962</v>
      </c>
      <c r="F9" s="30">
        <v>9.7139295830806791</v>
      </c>
      <c r="G9" s="30">
        <v>28.230211210446434</v>
      </c>
      <c r="H9" s="30">
        <v>0</v>
      </c>
      <c r="I9" s="30">
        <v>0</v>
      </c>
      <c r="J9" s="30">
        <v>0</v>
      </c>
      <c r="K9" s="30">
        <f>+J9</f>
        <v>0</v>
      </c>
      <c r="L9" s="29"/>
      <c r="M9" s="31"/>
      <c r="N9" s="31"/>
      <c r="O9" s="31"/>
      <c r="P9" s="31"/>
      <c r="Q9" s="31"/>
    </row>
    <row r="10" spans="1:21" x14ac:dyDescent="0.25">
      <c r="A10" s="44" t="s">
        <v>54</v>
      </c>
      <c r="B10" s="13" t="s">
        <v>55</v>
      </c>
      <c r="C10" s="44" t="s">
        <v>49</v>
      </c>
      <c r="D10" s="32">
        <v>1.238</v>
      </c>
      <c r="E10" s="32">
        <v>1.321</v>
      </c>
      <c r="F10" s="32">
        <v>1.5396607835593392</v>
      </c>
      <c r="G10" s="32">
        <v>1.5829668313837071</v>
      </c>
      <c r="H10" s="32">
        <v>1.6076876868835268</v>
      </c>
      <c r="I10" s="32">
        <v>1.6352595517305988</v>
      </c>
      <c r="J10" s="32">
        <v>1.6669528336720434</v>
      </c>
      <c r="K10" s="32">
        <f>+J10*1.03</f>
        <v>1.7169614186822046</v>
      </c>
      <c r="L10" s="29" t="s">
        <v>187</v>
      </c>
      <c r="M10" s="33"/>
      <c r="N10" s="33"/>
      <c r="O10" s="33"/>
      <c r="P10" s="33"/>
      <c r="Q10" s="33"/>
    </row>
    <row r="11" spans="1:21" x14ac:dyDescent="0.25">
      <c r="A11" s="44" t="s">
        <v>186</v>
      </c>
      <c r="B11" s="13" t="s">
        <v>189</v>
      </c>
      <c r="C11" s="44"/>
      <c r="D11" s="32">
        <v>1.0577620396600564</v>
      </c>
      <c r="E11" s="32">
        <v>1.1912139111833526</v>
      </c>
      <c r="F11" s="32">
        <v>1.2806226704273584</v>
      </c>
      <c r="G11" s="32">
        <v>1.3166427517353263</v>
      </c>
      <c r="H11" s="32">
        <v>1.3372044808664936</v>
      </c>
      <c r="I11" s="32">
        <v>1.3601375551943939</v>
      </c>
      <c r="J11" s="32">
        <v>1.3864986444601943</v>
      </c>
      <c r="K11" s="32">
        <f>+J11*1.02</f>
        <v>1.4142286173493983</v>
      </c>
      <c r="L11" s="29" t="s">
        <v>188</v>
      </c>
      <c r="M11" s="33"/>
      <c r="N11" s="33"/>
      <c r="O11" s="33"/>
      <c r="P11" s="33"/>
      <c r="Q11" s="33"/>
    </row>
    <row r="12" spans="1:21" x14ac:dyDescent="0.25">
      <c r="A12" s="45" t="s">
        <v>56</v>
      </c>
      <c r="B12" s="14" t="s">
        <v>57</v>
      </c>
      <c r="C12" s="45" t="s">
        <v>49</v>
      </c>
      <c r="D12" s="15">
        <f t="shared" ref="D12:E12" si="0">(D7+D8+D9)*D10</f>
        <v>412.81989509581808</v>
      </c>
      <c r="E12" s="15">
        <f t="shared" si="0"/>
        <v>424.65055822037965</v>
      </c>
      <c r="F12" s="15">
        <f>+F7*F11+(F8+F9)*F10</f>
        <v>482.49155246265201</v>
      </c>
      <c r="G12" s="15">
        <f>+G7*G11+(G8+G9)*G10</f>
        <v>542.14262654994616</v>
      </c>
      <c r="H12" s="15">
        <f t="shared" ref="H12:I12" si="1">+H7*H11+(H8+H9)*H10</f>
        <v>508.41842007965352</v>
      </c>
      <c r="I12" s="15">
        <f t="shared" si="1"/>
        <v>507.29726290728382</v>
      </c>
      <c r="J12" s="15">
        <f t="shared" ref="J12:K12" si="2">+J7*J11+(J8+J9)*J10</f>
        <v>521.76579122642488</v>
      </c>
      <c r="K12" s="15">
        <f t="shared" si="2"/>
        <v>532.18922443457495</v>
      </c>
      <c r="L12" s="16" t="s">
        <v>58</v>
      </c>
      <c r="M12" s="31"/>
      <c r="N12" s="34"/>
      <c r="O12" s="34"/>
      <c r="P12" s="34"/>
      <c r="Q12" s="34"/>
      <c r="R12" s="34"/>
      <c r="S12" s="34"/>
      <c r="T12" s="34"/>
      <c r="U12" s="34"/>
    </row>
    <row r="13" spans="1:21" x14ac:dyDescent="0.25">
      <c r="A13" s="44" t="s">
        <v>59</v>
      </c>
      <c r="B13" s="13" t="s">
        <v>60</v>
      </c>
      <c r="C13" s="44" t="s">
        <v>61</v>
      </c>
      <c r="D13" s="30">
        <v>0.57633905035365685</v>
      </c>
      <c r="E13" s="30">
        <v>0.59328234458423279</v>
      </c>
      <c r="F13" s="30">
        <v>4.1555073825151698</v>
      </c>
      <c r="G13" s="30">
        <v>4.3175223279327319</v>
      </c>
      <c r="H13" s="30">
        <v>3.5912071417080655</v>
      </c>
      <c r="I13" s="30">
        <v>3.9603458256104775</v>
      </c>
      <c r="J13" s="30">
        <v>4.3366439739141898</v>
      </c>
      <c r="K13" s="30">
        <f t="shared" ref="K13:K21" si="3">+J13</f>
        <v>4.3366439739141898</v>
      </c>
      <c r="L13" s="29" t="s">
        <v>190</v>
      </c>
      <c r="M13" s="31"/>
      <c r="N13" s="31"/>
      <c r="O13" s="31"/>
      <c r="P13" s="31"/>
      <c r="Q13" s="31"/>
    </row>
    <row r="14" spans="1:21" x14ac:dyDescent="0.25">
      <c r="A14" s="44" t="s">
        <v>62</v>
      </c>
      <c r="B14" s="13" t="s">
        <v>63</v>
      </c>
      <c r="C14" s="44" t="s">
        <v>61</v>
      </c>
      <c r="D14" s="30">
        <v>-6.064430105411323</v>
      </c>
      <c r="E14" s="30">
        <v>-6.7696838226068872</v>
      </c>
      <c r="F14" s="30">
        <v>19.620170065293799</v>
      </c>
      <c r="G14" s="30">
        <v>18.507379271975388</v>
      </c>
      <c r="H14" s="30">
        <v>34.782892325133368</v>
      </c>
      <c r="I14" s="30">
        <v>35.791188260728262</v>
      </c>
      <c r="J14" s="30">
        <v>36.646415553718505</v>
      </c>
      <c r="K14" s="30">
        <f t="shared" si="3"/>
        <v>36.646415553718505</v>
      </c>
      <c r="L14" s="29" t="s">
        <v>190</v>
      </c>
      <c r="M14" s="31"/>
      <c r="N14" s="31"/>
      <c r="O14" s="31"/>
      <c r="P14" s="31"/>
      <c r="Q14" s="31"/>
    </row>
    <row r="15" spans="1:21" ht="31.5" x14ac:dyDescent="0.25">
      <c r="A15" s="44" t="s">
        <v>0</v>
      </c>
      <c r="B15" s="13" t="s">
        <v>64</v>
      </c>
      <c r="C15" s="44" t="s">
        <v>61</v>
      </c>
      <c r="D15" s="30">
        <v>-2.2198409492638089</v>
      </c>
      <c r="E15" s="30">
        <v>-2.6730483819265203</v>
      </c>
      <c r="F15" s="30">
        <v>4.8427469673477468</v>
      </c>
      <c r="G15" s="30">
        <v>-2.6758768020473056</v>
      </c>
      <c r="H15" s="30">
        <v>18.879082595304283</v>
      </c>
      <c r="I15" s="30">
        <v>18.847798643923174</v>
      </c>
      <c r="J15" s="30">
        <v>19.072362312283442</v>
      </c>
      <c r="K15" s="30">
        <f t="shared" si="3"/>
        <v>19.072362312283442</v>
      </c>
      <c r="L15" s="29" t="s">
        <v>190</v>
      </c>
      <c r="M15" s="31"/>
      <c r="N15" s="31"/>
      <c r="O15" s="31"/>
      <c r="P15" s="31"/>
      <c r="Q15" s="31"/>
    </row>
    <row r="16" spans="1:21" ht="31.5" x14ac:dyDescent="0.25">
      <c r="A16" s="44" t="s">
        <v>65</v>
      </c>
      <c r="B16" s="13" t="s">
        <v>66</v>
      </c>
      <c r="C16" s="44" t="s">
        <v>61</v>
      </c>
      <c r="D16" s="30">
        <v>1.5370778498543718</v>
      </c>
      <c r="E16" s="30">
        <v>2.3074999472359803</v>
      </c>
      <c r="F16" s="30">
        <v>6.3697103647027253</v>
      </c>
      <c r="G16" s="30">
        <v>6.6697343502744797</v>
      </c>
      <c r="H16" s="30">
        <v>3.5348467905985643</v>
      </c>
      <c r="I16" s="30">
        <v>3.6932745571396386</v>
      </c>
      <c r="J16" s="30">
        <v>3.9534125852819972</v>
      </c>
      <c r="K16" s="30">
        <f t="shared" si="3"/>
        <v>3.9534125852819972</v>
      </c>
      <c r="L16" s="29" t="s">
        <v>190</v>
      </c>
      <c r="M16" s="31"/>
      <c r="N16" s="31"/>
      <c r="O16" s="31"/>
      <c r="P16" s="31"/>
      <c r="Q16" s="31"/>
    </row>
    <row r="17" spans="1:21" x14ac:dyDescent="0.25">
      <c r="A17" s="44" t="s">
        <v>67</v>
      </c>
      <c r="B17" s="13" t="s">
        <v>68</v>
      </c>
      <c r="C17" s="44" t="s">
        <v>61</v>
      </c>
      <c r="D17" s="30">
        <v>0.83578965948572448</v>
      </c>
      <c r="E17" s="30">
        <v>0.45343371261290916</v>
      </c>
      <c r="F17" s="30">
        <v>2.8062684820491648</v>
      </c>
      <c r="G17" s="30">
        <v>5.3797653260638363</v>
      </c>
      <c r="H17" s="30">
        <v>1.5832956450634399</v>
      </c>
      <c r="I17" s="30">
        <v>1.6292239500885537</v>
      </c>
      <c r="J17" s="30">
        <v>1.668121955658969</v>
      </c>
      <c r="K17" s="30">
        <f t="shared" si="3"/>
        <v>1.668121955658969</v>
      </c>
      <c r="L17" s="29" t="s">
        <v>190</v>
      </c>
      <c r="M17" s="31"/>
      <c r="N17" s="31"/>
      <c r="O17" s="31"/>
      <c r="P17" s="31"/>
      <c r="Q17" s="31"/>
    </row>
    <row r="18" spans="1:21" x14ac:dyDescent="0.25">
      <c r="A18" s="44" t="s">
        <v>69</v>
      </c>
      <c r="B18" s="13" t="s">
        <v>35</v>
      </c>
      <c r="C18" s="44" t="s">
        <v>61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f t="shared" si="3"/>
        <v>0</v>
      </c>
      <c r="L18" s="29" t="s">
        <v>190</v>
      </c>
      <c r="M18" s="31"/>
      <c r="N18" s="31"/>
      <c r="O18" s="31"/>
      <c r="P18" s="31"/>
      <c r="Q18" s="31"/>
    </row>
    <row r="19" spans="1:21" x14ac:dyDescent="0.25">
      <c r="A19" s="44" t="s">
        <v>29</v>
      </c>
      <c r="B19" s="13" t="s">
        <v>30</v>
      </c>
      <c r="C19" s="44" t="s">
        <v>61</v>
      </c>
      <c r="D19" s="30">
        <v>-1.4940836046399848E-2</v>
      </c>
      <c r="E19" s="30">
        <v>79.884110569249316</v>
      </c>
      <c r="F19" s="30">
        <v>22.901356425237317</v>
      </c>
      <c r="G19" s="30">
        <v>2.5369709909778857</v>
      </c>
      <c r="H19" s="30">
        <v>0</v>
      </c>
      <c r="I19" s="30">
        <v>0</v>
      </c>
      <c r="J19" s="30">
        <v>0</v>
      </c>
      <c r="K19" s="30">
        <f t="shared" si="3"/>
        <v>0</v>
      </c>
      <c r="L19" s="29"/>
      <c r="M19" s="31"/>
      <c r="N19" s="31"/>
      <c r="O19" s="31"/>
      <c r="P19" s="31"/>
      <c r="Q19" s="31"/>
    </row>
    <row r="20" spans="1:21" x14ac:dyDescent="0.25">
      <c r="A20" s="44" t="s">
        <v>31</v>
      </c>
      <c r="B20" s="13" t="s">
        <v>32</v>
      </c>
      <c r="C20" s="44" t="s">
        <v>61</v>
      </c>
      <c r="D20" s="30">
        <v>1.2460476431206342</v>
      </c>
      <c r="E20" s="30">
        <v>0.36783639350358877</v>
      </c>
      <c r="F20" s="30">
        <v>1.1430171802681339</v>
      </c>
      <c r="G20" s="30">
        <v>4.1140695569314172</v>
      </c>
      <c r="H20" s="30">
        <v>0.1431165123094412</v>
      </c>
      <c r="I20" s="30">
        <v>0</v>
      </c>
      <c r="J20" s="30">
        <v>0</v>
      </c>
      <c r="K20" s="30">
        <f t="shared" si="3"/>
        <v>0</v>
      </c>
      <c r="L20" s="29"/>
      <c r="M20" s="31"/>
      <c r="N20" s="31"/>
      <c r="O20" s="31"/>
      <c r="P20" s="31"/>
      <c r="Q20" s="31"/>
    </row>
    <row r="21" spans="1:21" x14ac:dyDescent="0.25">
      <c r="A21" s="44" t="s">
        <v>33</v>
      </c>
      <c r="B21" s="35" t="s">
        <v>136</v>
      </c>
      <c r="C21" s="44" t="s">
        <v>61</v>
      </c>
      <c r="D21" s="30">
        <v>0.12271128401910866</v>
      </c>
      <c r="E21" s="30">
        <v>-0.1350667769243856</v>
      </c>
      <c r="F21" s="30">
        <v>0</v>
      </c>
      <c r="G21" s="30">
        <v>-9.5874715542599667</v>
      </c>
      <c r="H21" s="30">
        <v>0</v>
      </c>
      <c r="I21" s="30">
        <v>0</v>
      </c>
      <c r="J21" s="30">
        <v>0</v>
      </c>
      <c r="K21" s="30">
        <f t="shared" si="3"/>
        <v>0</v>
      </c>
      <c r="L21" s="29"/>
      <c r="M21" s="31"/>
      <c r="N21" s="31"/>
      <c r="O21" s="31"/>
      <c r="P21" s="31"/>
      <c r="Q21" s="31"/>
    </row>
    <row r="22" spans="1:21" ht="31.5" x14ac:dyDescent="0.25">
      <c r="A22" s="45" t="s">
        <v>34</v>
      </c>
      <c r="B22" s="14" t="s">
        <v>70</v>
      </c>
      <c r="C22" s="45" t="s">
        <v>61</v>
      </c>
      <c r="D22" s="15">
        <f>D13+D14+D15+D16+D17+D18+D21+D19+D20</f>
        <v>-3.9812464038880355</v>
      </c>
      <c r="E22" s="15">
        <f t="shared" ref="E22:F22" si="4">E13+E14+E15+E16+E17+E18+E21+E19+E20</f>
        <v>74.028363985728234</v>
      </c>
      <c r="F22" s="15">
        <f t="shared" si="4"/>
        <v>61.838776867414047</v>
      </c>
      <c r="G22" s="15">
        <f t="shared" ref="G22:H22" si="5">G13+G14+G15+G16+G17+G18+G21+G19+G20</f>
        <v>29.262093467848466</v>
      </c>
      <c r="H22" s="15">
        <f t="shared" si="5"/>
        <v>62.51444101011716</v>
      </c>
      <c r="I22" s="15">
        <f t="shared" ref="I22" si="6">I13+I14+I15+I16+I17+I18+I21+I19+I20</f>
        <v>63.921831237490096</v>
      </c>
      <c r="J22" s="15">
        <f t="shared" ref="J22:K22" si="7">J13+J14+J15+J16+J17+J18+J21+J19+J20</f>
        <v>65.676956380857106</v>
      </c>
      <c r="K22" s="15">
        <f t="shared" si="7"/>
        <v>65.676956380857106</v>
      </c>
      <c r="L22" s="36" t="s">
        <v>71</v>
      </c>
      <c r="M22" s="31"/>
      <c r="N22" s="37"/>
      <c r="O22" s="37"/>
      <c r="P22" s="37"/>
      <c r="Q22" s="37"/>
      <c r="R22" s="37"/>
      <c r="S22" s="37"/>
      <c r="T22" s="37"/>
      <c r="U22" s="37"/>
    </row>
    <row r="23" spans="1:21" x14ac:dyDescent="0.25">
      <c r="A23" s="44" t="s">
        <v>72</v>
      </c>
      <c r="B23" s="13" t="s">
        <v>73</v>
      </c>
      <c r="C23" s="44" t="s">
        <v>74</v>
      </c>
      <c r="D23" s="30">
        <v>3.6046173324385733</v>
      </c>
      <c r="E23" s="30">
        <v>3.8345685424528164</v>
      </c>
      <c r="F23" s="30">
        <v>3.1821889546497153</v>
      </c>
      <c r="G23" s="30">
        <v>5.3630641647829487</v>
      </c>
      <c r="H23" s="30">
        <v>0</v>
      </c>
      <c r="I23" s="30">
        <v>0</v>
      </c>
      <c r="J23" s="30">
        <v>0</v>
      </c>
      <c r="K23" s="30">
        <f t="shared" ref="K23:K33" si="8">+J23</f>
        <v>0</v>
      </c>
      <c r="L23" s="29" t="s">
        <v>190</v>
      </c>
      <c r="M23" s="31"/>
      <c r="N23" s="31"/>
      <c r="O23" s="31"/>
      <c r="P23" s="31"/>
      <c r="Q23" s="31"/>
    </row>
    <row r="24" spans="1:21" x14ac:dyDescent="0.25">
      <c r="A24" s="44" t="s">
        <v>75</v>
      </c>
      <c r="B24" s="13" t="s">
        <v>76</v>
      </c>
      <c r="C24" s="44" t="s">
        <v>77</v>
      </c>
      <c r="D24" s="30">
        <v>17.874730300494271</v>
      </c>
      <c r="E24" s="30">
        <v>17.142556020136084</v>
      </c>
      <c r="F24" s="30">
        <v>24.439926707987308</v>
      </c>
      <c r="G24" s="30">
        <v>31.499928018574316</v>
      </c>
      <c r="H24" s="30">
        <v>10.513582864802519</v>
      </c>
      <c r="I24" s="30">
        <v>12.030855435238079</v>
      </c>
      <c r="J24" s="30">
        <v>17.825760175757104</v>
      </c>
      <c r="K24" s="30">
        <f t="shared" si="8"/>
        <v>17.825760175757104</v>
      </c>
      <c r="L24" s="29" t="s">
        <v>190</v>
      </c>
      <c r="M24" s="31"/>
      <c r="N24" s="31"/>
      <c r="O24" s="31"/>
      <c r="P24" s="31"/>
      <c r="Q24" s="31"/>
    </row>
    <row r="25" spans="1:21" x14ac:dyDescent="0.25">
      <c r="A25" s="44" t="s">
        <v>78</v>
      </c>
      <c r="B25" s="13" t="s">
        <v>79</v>
      </c>
      <c r="C25" s="44" t="s">
        <v>80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f t="shared" si="8"/>
        <v>0</v>
      </c>
      <c r="L25" s="29" t="s">
        <v>190</v>
      </c>
      <c r="M25" s="31"/>
      <c r="N25" s="31"/>
      <c r="O25" s="31"/>
      <c r="P25" s="31"/>
      <c r="Q25" s="31"/>
    </row>
    <row r="26" spans="1:21" x14ac:dyDescent="0.25">
      <c r="A26" s="44" t="s">
        <v>81</v>
      </c>
      <c r="B26" s="13" t="s">
        <v>82</v>
      </c>
      <c r="C26" s="44" t="s">
        <v>83</v>
      </c>
      <c r="D26" s="30">
        <v>1.4174505287780219</v>
      </c>
      <c r="E26" s="30">
        <v>1.4326705362644323</v>
      </c>
      <c r="F26" s="30">
        <v>1.5161063046635705</v>
      </c>
      <c r="G26" s="30">
        <v>1.7225298865842447</v>
      </c>
      <c r="H26" s="30">
        <v>0</v>
      </c>
      <c r="I26" s="30">
        <v>0</v>
      </c>
      <c r="J26" s="30">
        <v>0</v>
      </c>
      <c r="K26" s="30">
        <f t="shared" si="8"/>
        <v>0</v>
      </c>
      <c r="L26" s="29" t="s">
        <v>190</v>
      </c>
      <c r="M26" s="31"/>
      <c r="N26" s="31"/>
      <c r="O26" s="31"/>
      <c r="P26" s="31"/>
      <c r="Q26" s="31"/>
    </row>
    <row r="27" spans="1:21" x14ac:dyDescent="0.25">
      <c r="A27" s="44" t="s">
        <v>84</v>
      </c>
      <c r="B27" s="13" t="s">
        <v>85</v>
      </c>
      <c r="C27" s="44" t="s">
        <v>86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f t="shared" si="8"/>
        <v>0</v>
      </c>
      <c r="L27" s="29" t="s">
        <v>190</v>
      </c>
      <c r="M27" s="31"/>
      <c r="N27" s="31"/>
      <c r="O27" s="31"/>
      <c r="P27" s="31"/>
      <c r="Q27" s="31"/>
    </row>
    <row r="28" spans="1:21" x14ac:dyDescent="0.25">
      <c r="A28" s="44" t="s">
        <v>87</v>
      </c>
      <c r="B28" s="13" t="s">
        <v>88</v>
      </c>
      <c r="C28" s="44" t="s">
        <v>89</v>
      </c>
      <c r="D28" s="30">
        <v>2.8897392656707268</v>
      </c>
      <c r="E28" s="30">
        <v>2.9722764975426581</v>
      </c>
      <c r="F28" s="30">
        <v>2.1514460863179625</v>
      </c>
      <c r="G28" s="30">
        <v>2.2119598229153485</v>
      </c>
      <c r="H28" s="30">
        <v>2.2465035278557095</v>
      </c>
      <c r="I28" s="30">
        <v>2.285031092726582</v>
      </c>
      <c r="J28" s="30">
        <v>2.3293177226931259</v>
      </c>
      <c r="K28" s="30">
        <f t="shared" si="8"/>
        <v>2.3293177226931259</v>
      </c>
      <c r="L28" s="29" t="s">
        <v>199</v>
      </c>
      <c r="M28" s="31"/>
      <c r="N28" s="31"/>
      <c r="O28" s="31"/>
      <c r="P28" s="31"/>
      <c r="Q28" s="31"/>
    </row>
    <row r="29" spans="1:21" x14ac:dyDescent="0.25">
      <c r="A29" s="67" t="s">
        <v>90</v>
      </c>
      <c r="B29" s="13" t="s">
        <v>91</v>
      </c>
      <c r="C29" s="44" t="s">
        <v>92</v>
      </c>
      <c r="D29" s="30">
        <v>0</v>
      </c>
      <c r="E29" s="30">
        <v>0</v>
      </c>
      <c r="F29" s="30">
        <v>2.3961429999999999E-2</v>
      </c>
      <c r="G29" s="30">
        <v>0</v>
      </c>
      <c r="H29" s="30">
        <v>0</v>
      </c>
      <c r="I29" s="30">
        <v>0</v>
      </c>
      <c r="J29" s="30">
        <v>0</v>
      </c>
      <c r="K29" s="30">
        <f t="shared" si="8"/>
        <v>0</v>
      </c>
      <c r="L29" s="69"/>
      <c r="M29" s="31"/>
      <c r="N29" s="31"/>
      <c r="O29" s="31"/>
      <c r="P29" s="31"/>
      <c r="Q29" s="31"/>
    </row>
    <row r="30" spans="1:21" x14ac:dyDescent="0.25">
      <c r="A30" s="68"/>
      <c r="B30" s="13" t="s">
        <v>93</v>
      </c>
      <c r="C30" s="44" t="s">
        <v>92</v>
      </c>
      <c r="D30" s="30">
        <v>5.5624060000000003E-2</v>
      </c>
      <c r="E30" s="30">
        <v>-0.26098867999999997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f t="shared" si="8"/>
        <v>0</v>
      </c>
      <c r="L30" s="70"/>
      <c r="M30" s="31"/>
      <c r="N30" s="31"/>
      <c r="O30" s="31"/>
      <c r="P30" s="31"/>
      <c r="Q30" s="31"/>
    </row>
    <row r="31" spans="1:21" ht="31.5" x14ac:dyDescent="0.25">
      <c r="A31" s="44" t="s">
        <v>94</v>
      </c>
      <c r="B31" s="13" t="s">
        <v>95</v>
      </c>
      <c r="C31" s="44" t="s">
        <v>96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f t="shared" si="8"/>
        <v>0</v>
      </c>
      <c r="L31" s="29"/>
      <c r="M31" s="31"/>
      <c r="N31" s="31"/>
      <c r="O31" s="31"/>
      <c r="P31" s="31"/>
      <c r="Q31" s="31"/>
    </row>
    <row r="32" spans="1:21" x14ac:dyDescent="0.25">
      <c r="A32" s="67" t="s">
        <v>97</v>
      </c>
      <c r="B32" s="13" t="s">
        <v>98</v>
      </c>
      <c r="C32" s="44" t="s">
        <v>99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f t="shared" si="8"/>
        <v>0</v>
      </c>
      <c r="L32" s="29"/>
      <c r="M32" s="31"/>
      <c r="N32" s="31"/>
      <c r="O32" s="31"/>
      <c r="P32" s="31"/>
      <c r="Q32" s="31"/>
    </row>
    <row r="33" spans="1:21" x14ac:dyDescent="0.25">
      <c r="A33" s="68"/>
      <c r="B33" s="13" t="s">
        <v>100</v>
      </c>
      <c r="C33" s="44" t="s">
        <v>99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f t="shared" si="8"/>
        <v>0</v>
      </c>
      <c r="L33" s="29"/>
      <c r="M33" s="31"/>
      <c r="N33" s="31"/>
      <c r="O33" s="31"/>
      <c r="P33" s="31"/>
      <c r="Q33" s="31"/>
    </row>
    <row r="34" spans="1:21" ht="31.5" x14ac:dyDescent="0.25">
      <c r="A34" s="46" t="s">
        <v>101</v>
      </c>
      <c r="B34" s="38"/>
      <c r="C34" s="46"/>
      <c r="D34" s="15">
        <f t="shared" ref="D34:F34" si="9">D23+D24+D25+D26+D27+D28+D29+D30+D31+D32+D33</f>
        <v>25.842161487381592</v>
      </c>
      <c r="E34" s="15">
        <f t="shared" si="9"/>
        <v>25.121082916395991</v>
      </c>
      <c r="F34" s="15">
        <f t="shared" si="9"/>
        <v>31.313629483618556</v>
      </c>
      <c r="G34" s="15">
        <f t="shared" ref="G34:H34" si="10">G23+G24+G25+G26+G27+G28+G29+G30+G31+G32+G33</f>
        <v>40.797481892856858</v>
      </c>
      <c r="H34" s="15">
        <f t="shared" si="10"/>
        <v>12.760086392658229</v>
      </c>
      <c r="I34" s="15">
        <f t="shared" ref="I34" si="11">I23+I24+I25+I26+I27+I28+I29+I30+I31+I32+I33</f>
        <v>14.315886527964661</v>
      </c>
      <c r="J34" s="15">
        <f t="shared" ref="J34:K34" si="12">J23+J24+J25+J26+J27+J28+J29+J30+J31+J32+J33</f>
        <v>20.15507789845023</v>
      </c>
      <c r="K34" s="15">
        <f t="shared" si="12"/>
        <v>20.15507789845023</v>
      </c>
      <c r="L34" s="36" t="s">
        <v>102</v>
      </c>
      <c r="M34" s="31"/>
      <c r="N34" s="31"/>
      <c r="O34" s="39"/>
      <c r="P34" s="39"/>
      <c r="Q34" s="39"/>
      <c r="R34" s="39"/>
      <c r="S34" s="39"/>
      <c r="T34" s="39"/>
      <c r="U34" s="39"/>
    </row>
    <row r="35" spans="1:21" x14ac:dyDescent="0.25">
      <c r="A35" s="44" t="s">
        <v>103</v>
      </c>
      <c r="B35" s="13" t="s">
        <v>104</v>
      </c>
      <c r="C35" s="44" t="s">
        <v>49</v>
      </c>
      <c r="D35" s="30">
        <v>-9.9972604895292623</v>
      </c>
      <c r="E35" s="30">
        <v>22.311792264364264</v>
      </c>
      <c r="F35" s="30">
        <v>7.7709263791015672</v>
      </c>
      <c r="G35" s="30">
        <v>46.49677580361481</v>
      </c>
      <c r="H35" s="30">
        <v>70.684931395097919</v>
      </c>
      <c r="I35" s="30">
        <v>-15.256141455276079</v>
      </c>
      <c r="J35" s="30">
        <v>0</v>
      </c>
      <c r="K35" s="30">
        <f>+J35</f>
        <v>0</v>
      </c>
      <c r="L35" s="29" t="s">
        <v>198</v>
      </c>
      <c r="M35" s="31"/>
      <c r="N35" s="31"/>
      <c r="O35" s="39"/>
      <c r="P35" s="39"/>
      <c r="Q35" s="39"/>
      <c r="R35" s="39"/>
      <c r="S35" s="39"/>
      <c r="T35" s="39"/>
      <c r="U35" s="39"/>
    </row>
    <row r="36" spans="1:21" x14ac:dyDescent="0.25">
      <c r="A36" s="45" t="s">
        <v>105</v>
      </c>
      <c r="B36" s="14" t="s">
        <v>106</v>
      </c>
      <c r="C36" s="45" t="s">
        <v>49</v>
      </c>
      <c r="D36" s="15">
        <f t="shared" ref="D36:F36" si="13">D12+D22+D34+D35</f>
        <v>424.68354968978241</v>
      </c>
      <c r="E36" s="65">
        <f t="shared" si="13"/>
        <v>546.11179738686815</v>
      </c>
      <c r="F36" s="15">
        <f t="shared" si="13"/>
        <v>583.41488519278619</v>
      </c>
      <c r="G36" s="15">
        <f t="shared" ref="G36:H36" si="14">G12+G22+G34+G35</f>
        <v>658.69897771426622</v>
      </c>
      <c r="H36" s="15">
        <f t="shared" si="14"/>
        <v>654.37787887752677</v>
      </c>
      <c r="I36" s="15">
        <f t="shared" ref="I36" si="15">I12+I22+I34+I35</f>
        <v>570.27883921746241</v>
      </c>
      <c r="J36" s="15">
        <f t="shared" ref="J36:K36" si="16">J12+J22+J34+J35</f>
        <v>607.5978255057322</v>
      </c>
      <c r="K36" s="15">
        <f t="shared" si="16"/>
        <v>618.02125871388228</v>
      </c>
      <c r="L36" s="16" t="s">
        <v>107</v>
      </c>
      <c r="M36" s="31"/>
      <c r="N36" s="31"/>
      <c r="O36" s="31"/>
      <c r="P36" s="31"/>
      <c r="Q36" s="31"/>
    </row>
    <row r="37" spans="1:21" ht="31.5" x14ac:dyDescent="0.25">
      <c r="A37" s="44" t="s">
        <v>108</v>
      </c>
      <c r="B37" s="13" t="s">
        <v>109</v>
      </c>
      <c r="C37" s="44" t="s">
        <v>110</v>
      </c>
      <c r="D37" s="30"/>
      <c r="E37" s="30"/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f t="shared" ref="K37:K41" si="17">+J37</f>
        <v>0</v>
      </c>
      <c r="L37" s="29" t="s">
        <v>155</v>
      </c>
      <c r="M37" s="31"/>
      <c r="N37" s="31"/>
      <c r="O37" s="31"/>
      <c r="P37" s="31"/>
      <c r="Q37" s="31"/>
    </row>
    <row r="38" spans="1:21" ht="31.5" x14ac:dyDescent="0.25">
      <c r="A38" s="44" t="s">
        <v>111</v>
      </c>
      <c r="B38" s="13" t="s">
        <v>112</v>
      </c>
      <c r="C38" s="44" t="s">
        <v>110</v>
      </c>
      <c r="D38" s="30"/>
      <c r="E38" s="30"/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f t="shared" si="17"/>
        <v>0</v>
      </c>
      <c r="L38" s="29" t="s">
        <v>155</v>
      </c>
      <c r="M38" s="31"/>
      <c r="N38" s="31"/>
      <c r="O38" s="31"/>
      <c r="P38" s="31"/>
      <c r="Q38" s="31"/>
    </row>
    <row r="39" spans="1:21" ht="31.5" x14ac:dyDescent="0.25">
      <c r="A39" s="44" t="s">
        <v>113</v>
      </c>
      <c r="B39" s="13" t="s">
        <v>114</v>
      </c>
      <c r="C39" s="44" t="s">
        <v>110</v>
      </c>
      <c r="D39" s="30"/>
      <c r="E39" s="30"/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f t="shared" si="17"/>
        <v>0</v>
      </c>
      <c r="L39" s="29" t="s">
        <v>155</v>
      </c>
      <c r="M39" s="31"/>
      <c r="N39" s="31"/>
      <c r="O39" s="31"/>
      <c r="P39" s="31"/>
      <c r="Q39" s="31"/>
    </row>
    <row r="40" spans="1:21" ht="31.5" x14ac:dyDescent="0.25">
      <c r="A40" s="47" t="s">
        <v>115</v>
      </c>
      <c r="B40" s="35"/>
      <c r="C40" s="29"/>
      <c r="D40" s="30"/>
      <c r="E40" s="30"/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f t="shared" si="17"/>
        <v>0</v>
      </c>
      <c r="L40" s="29"/>
      <c r="M40" s="31"/>
      <c r="N40" s="31"/>
      <c r="O40" s="31"/>
      <c r="P40" s="31"/>
      <c r="Q40" s="31"/>
    </row>
    <row r="41" spans="1:21" ht="31.5" x14ac:dyDescent="0.25">
      <c r="A41" s="47" t="s">
        <v>116</v>
      </c>
      <c r="B41" s="35"/>
      <c r="C41" s="29"/>
      <c r="D41" s="30"/>
      <c r="E41" s="30"/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f t="shared" si="17"/>
        <v>0</v>
      </c>
      <c r="L41" s="29"/>
      <c r="M41" s="31"/>
      <c r="N41" s="31"/>
      <c r="O41" s="31"/>
      <c r="P41" s="31"/>
      <c r="Q41" s="31"/>
    </row>
    <row r="42" spans="1:21" ht="47.25" x14ac:dyDescent="0.25">
      <c r="A42" s="46" t="s">
        <v>117</v>
      </c>
      <c r="B42" s="38"/>
      <c r="C42" s="36"/>
      <c r="D42" s="15">
        <f t="shared" ref="D42:F42" si="18">D37+D38+D39+D40+D41</f>
        <v>0</v>
      </c>
      <c r="E42" s="15">
        <f t="shared" si="18"/>
        <v>0</v>
      </c>
      <c r="F42" s="15">
        <f t="shared" si="18"/>
        <v>0</v>
      </c>
      <c r="G42" s="15">
        <f t="shared" ref="G42:H42" si="19">G37+G38+G39+G40+G41</f>
        <v>0</v>
      </c>
      <c r="H42" s="15">
        <f t="shared" si="19"/>
        <v>0</v>
      </c>
      <c r="I42" s="15">
        <f t="shared" ref="I42" si="20">I37+I38+I39+I40+I41</f>
        <v>0</v>
      </c>
      <c r="J42" s="15">
        <f t="shared" ref="J42:K42" si="21">J37+J38+J39+J40+J41</f>
        <v>0</v>
      </c>
      <c r="K42" s="15">
        <f t="shared" si="21"/>
        <v>0</v>
      </c>
      <c r="L42" s="36" t="s">
        <v>118</v>
      </c>
      <c r="M42" s="31"/>
      <c r="N42" s="31"/>
      <c r="O42" s="31"/>
      <c r="P42" s="31"/>
      <c r="Q42" s="31"/>
    </row>
    <row r="43" spans="1:21" ht="31.5" x14ac:dyDescent="0.25">
      <c r="A43" s="46" t="s">
        <v>119</v>
      </c>
      <c r="B43" s="38"/>
      <c r="C43" s="36"/>
      <c r="D43" s="15">
        <f t="shared" ref="D43:F43" si="22">D36+D42</f>
        <v>424.68354968978241</v>
      </c>
      <c r="E43" s="15">
        <f t="shared" si="22"/>
        <v>546.11179738686815</v>
      </c>
      <c r="F43" s="15">
        <f t="shared" si="22"/>
        <v>583.41488519278619</v>
      </c>
      <c r="G43" s="15">
        <f t="shared" ref="G43:H43" si="23">G36+G42</f>
        <v>658.69897771426622</v>
      </c>
      <c r="H43" s="15">
        <f t="shared" si="23"/>
        <v>654.37787887752677</v>
      </c>
      <c r="I43" s="15">
        <f t="shared" ref="I43" si="24">I36+I42</f>
        <v>570.27883921746241</v>
      </c>
      <c r="J43" s="15">
        <f t="shared" ref="J43:K43" si="25">J36+J42</f>
        <v>607.5978255057322</v>
      </c>
      <c r="K43" s="15">
        <f t="shared" si="25"/>
        <v>618.02125871388228</v>
      </c>
      <c r="L43" s="16" t="s">
        <v>120</v>
      </c>
      <c r="M43" s="31"/>
      <c r="N43" s="31"/>
      <c r="O43" s="31"/>
      <c r="P43" s="31"/>
      <c r="Q43" s="31"/>
    </row>
    <row r="44" spans="1:21" ht="31.5" x14ac:dyDescent="0.25">
      <c r="A44" s="44" t="s">
        <v>121</v>
      </c>
      <c r="B44" s="35"/>
      <c r="C44" s="29"/>
      <c r="D44" s="30">
        <v>17.080147732048374</v>
      </c>
      <c r="E44" s="30">
        <v>18.483922961141104</v>
      </c>
      <c r="F44" s="30">
        <v>20.975101719157674</v>
      </c>
      <c r="G44" s="30">
        <v>25.404044464142924</v>
      </c>
      <c r="H44" s="30">
        <v>26.98997366517305</v>
      </c>
      <c r="I44" s="30">
        <f>+H44/H43*I43</f>
        <v>23.521288462083689</v>
      </c>
      <c r="J44" s="30">
        <f>+I44/I43*J43</f>
        <v>25.060519065139985</v>
      </c>
      <c r="K44" s="30">
        <f>+J44</f>
        <v>25.060519065139985</v>
      </c>
      <c r="L44" s="66" t="s">
        <v>156</v>
      </c>
      <c r="M44" s="31"/>
      <c r="N44" s="31"/>
      <c r="O44" s="31"/>
      <c r="P44" s="31"/>
      <c r="Q44" s="31"/>
    </row>
    <row r="45" spans="1:21" ht="31.5" x14ac:dyDescent="0.25">
      <c r="A45" s="44" t="s">
        <v>122</v>
      </c>
      <c r="B45" s="35"/>
      <c r="C45" s="29"/>
      <c r="D45" s="30"/>
      <c r="E45" s="30"/>
      <c r="F45" s="30"/>
      <c r="G45" s="30"/>
      <c r="H45" s="30"/>
      <c r="I45" s="30"/>
      <c r="J45" s="30"/>
      <c r="K45" s="30"/>
      <c r="L45" s="29"/>
      <c r="M45" s="31"/>
      <c r="N45" s="31"/>
      <c r="O45" s="31"/>
      <c r="P45" s="31"/>
      <c r="Q45" s="31"/>
    </row>
    <row r="46" spans="1:21" ht="31.5" x14ac:dyDescent="0.25">
      <c r="A46" s="47" t="s">
        <v>123</v>
      </c>
      <c r="B46" s="35"/>
      <c r="C46" s="29"/>
      <c r="D46" s="30"/>
      <c r="E46" s="30"/>
      <c r="F46" s="30"/>
      <c r="G46" s="30"/>
      <c r="H46" s="30"/>
      <c r="I46" s="30"/>
      <c r="J46" s="30"/>
      <c r="K46" s="30"/>
      <c r="L46" s="29"/>
      <c r="M46" s="31"/>
      <c r="N46" s="31"/>
      <c r="O46" s="31"/>
      <c r="P46" s="31"/>
      <c r="Q46" s="31"/>
    </row>
    <row r="47" spans="1:21" x14ac:dyDescent="0.25">
      <c r="A47" s="47" t="s">
        <v>4</v>
      </c>
      <c r="B47" s="35"/>
      <c r="C47" s="29"/>
      <c r="D47" s="30"/>
      <c r="E47" s="30"/>
      <c r="F47" s="30"/>
      <c r="G47" s="30"/>
      <c r="H47" s="30"/>
      <c r="I47" s="30"/>
      <c r="J47" s="30"/>
      <c r="K47" s="30"/>
      <c r="L47" s="29"/>
      <c r="M47" s="31"/>
      <c r="N47" s="31"/>
      <c r="O47" s="31"/>
      <c r="P47" s="31"/>
      <c r="Q47" s="31"/>
    </row>
    <row r="48" spans="1:21" ht="31.5" x14ac:dyDescent="0.25">
      <c r="A48" s="46" t="s">
        <v>124</v>
      </c>
      <c r="B48" s="38"/>
      <c r="C48" s="36"/>
      <c r="D48" s="15">
        <f t="shared" ref="D48:F48" si="26">D44+D45+D46+D47</f>
        <v>17.080147732048374</v>
      </c>
      <c r="E48" s="15">
        <f t="shared" si="26"/>
        <v>18.483922961141104</v>
      </c>
      <c r="F48" s="15">
        <f t="shared" si="26"/>
        <v>20.975101719157674</v>
      </c>
      <c r="G48" s="15">
        <f t="shared" ref="G48:H48" si="27">G44+G45+G46+G47</f>
        <v>25.404044464142924</v>
      </c>
      <c r="H48" s="15">
        <f t="shared" si="27"/>
        <v>26.98997366517305</v>
      </c>
      <c r="I48" s="15">
        <f t="shared" ref="I48" si="28">I44+I45+I46+I47</f>
        <v>23.521288462083689</v>
      </c>
      <c r="J48" s="15">
        <f t="shared" ref="J48:K48" si="29">J44+J45+J46+J47</f>
        <v>25.060519065139985</v>
      </c>
      <c r="K48" s="15">
        <f t="shared" si="29"/>
        <v>25.060519065139985</v>
      </c>
      <c r="L48" s="36" t="s">
        <v>125</v>
      </c>
      <c r="M48" s="31"/>
      <c r="N48" s="31"/>
      <c r="O48" s="31"/>
      <c r="P48" s="31"/>
      <c r="Q48" s="31"/>
    </row>
    <row r="49" spans="1:22" ht="31.5" x14ac:dyDescent="0.25">
      <c r="A49" s="46" t="s">
        <v>126</v>
      </c>
      <c r="B49" s="38"/>
      <c r="C49" s="36"/>
      <c r="D49" s="15">
        <f t="shared" ref="D49:F49" si="30">D43-D48</f>
        <v>407.60340195773404</v>
      </c>
      <c r="E49" s="15">
        <f t="shared" si="30"/>
        <v>527.62787442572699</v>
      </c>
      <c r="F49" s="15">
        <f t="shared" si="30"/>
        <v>562.43978347362849</v>
      </c>
      <c r="G49" s="15">
        <f t="shared" ref="G49:H49" si="31">G43-G48</f>
        <v>633.29493325012334</v>
      </c>
      <c r="H49" s="15">
        <f t="shared" si="31"/>
        <v>627.38790521235376</v>
      </c>
      <c r="I49" s="15">
        <f t="shared" ref="I49" si="32">I43-I48</f>
        <v>546.7575507553787</v>
      </c>
      <c r="J49" s="15">
        <f t="shared" ref="J49:K49" si="33">J43-J48</f>
        <v>582.53730644059226</v>
      </c>
      <c r="K49" s="15">
        <f t="shared" si="33"/>
        <v>592.96073964874233</v>
      </c>
      <c r="L49" s="16" t="s">
        <v>127</v>
      </c>
      <c r="M49" s="31"/>
      <c r="N49" s="31"/>
      <c r="O49" s="31"/>
      <c r="P49" s="31"/>
      <c r="Q49" s="31"/>
    </row>
    <row r="50" spans="1:22" x14ac:dyDescent="0.25">
      <c r="A50" s="45" t="s">
        <v>128</v>
      </c>
      <c r="B50" s="38"/>
      <c r="C50" s="36"/>
      <c r="D50" s="40">
        <v>414.813612923797</v>
      </c>
      <c r="E50" s="40">
        <v>533.17891577627654</v>
      </c>
      <c r="F50" s="40">
        <v>541.15294823710053</v>
      </c>
      <c r="G50" s="40">
        <v>595.48458789947779</v>
      </c>
      <c r="H50" s="40">
        <v>641.7898520111853</v>
      </c>
      <c r="I50" s="40">
        <f>+I49</f>
        <v>546.7575507553787</v>
      </c>
      <c r="J50" s="40">
        <f>+J49</f>
        <v>582.53730644059226</v>
      </c>
      <c r="K50" s="40">
        <f>+K49</f>
        <v>592.96073964874233</v>
      </c>
      <c r="L50" s="36"/>
      <c r="M50" s="31"/>
      <c r="N50" s="31"/>
      <c r="O50" s="31"/>
      <c r="P50" s="31"/>
      <c r="Q50" s="31"/>
    </row>
    <row r="51" spans="1:22" x14ac:dyDescent="0.25">
      <c r="A51" s="44" t="s">
        <v>129</v>
      </c>
      <c r="B51" s="35"/>
      <c r="C51" s="29"/>
      <c r="D51" s="30">
        <v>428.28951999999998</v>
      </c>
      <c r="E51" s="30">
        <v>535.9583433900001</v>
      </c>
      <c r="F51" s="30">
        <v>539.91841621999993</v>
      </c>
      <c r="G51" s="30">
        <v>591.86584300000004</v>
      </c>
      <c r="H51" s="30">
        <v>668.77982567635831</v>
      </c>
      <c r="I51" s="30">
        <f>+I36</f>
        <v>570.27883921746241</v>
      </c>
      <c r="J51" s="30">
        <f>+J36</f>
        <v>607.5978255057322</v>
      </c>
      <c r="K51" s="30">
        <f>+K36</f>
        <v>618.02125871388228</v>
      </c>
      <c r="L51" s="29"/>
      <c r="M51" s="31"/>
      <c r="N51" s="31"/>
      <c r="O51" s="39"/>
      <c r="P51" s="39"/>
      <c r="Q51" s="39"/>
      <c r="R51" s="39"/>
      <c r="S51" s="39"/>
      <c r="T51" s="39"/>
      <c r="U51" s="39"/>
      <c r="V51" s="39"/>
    </row>
    <row r="52" spans="1:22" x14ac:dyDescent="0.25">
      <c r="A52" s="44" t="s">
        <v>130</v>
      </c>
      <c r="B52" s="35"/>
      <c r="C52" s="29"/>
      <c r="D52" s="17">
        <f t="shared" ref="D52:I52" si="34">D51-D42-D36+D45</f>
        <v>3.6059703102175718</v>
      </c>
      <c r="E52" s="17">
        <f t="shared" si="34"/>
        <v>-10.153453996868052</v>
      </c>
      <c r="F52" s="17">
        <f t="shared" si="34"/>
        <v>-43.496468972786261</v>
      </c>
      <c r="G52" s="17">
        <f t="shared" si="34"/>
        <v>-66.83313471426618</v>
      </c>
      <c r="H52" s="17">
        <f t="shared" si="34"/>
        <v>14.401946798831545</v>
      </c>
      <c r="I52" s="17">
        <f t="shared" si="34"/>
        <v>0</v>
      </c>
      <c r="J52" s="17">
        <f t="shared" ref="J52:K52" si="35">J51-J42-J36+J45</f>
        <v>0</v>
      </c>
      <c r="K52" s="17">
        <f t="shared" si="35"/>
        <v>0</v>
      </c>
      <c r="L52" s="12" t="s">
        <v>131</v>
      </c>
      <c r="M52" s="31"/>
      <c r="N52" s="31"/>
      <c r="O52" s="31"/>
      <c r="P52" s="31"/>
      <c r="Q52" s="31"/>
    </row>
    <row r="53" spans="1:22" ht="31.5" x14ac:dyDescent="0.25">
      <c r="A53" s="44" t="s">
        <v>132</v>
      </c>
      <c r="B53" s="35"/>
      <c r="C53" s="29"/>
      <c r="D53" s="18"/>
      <c r="E53" s="18">
        <f t="shared" ref="E53:K53" si="36">E36/D36-1</f>
        <v>0.2859264216515689</v>
      </c>
      <c r="F53" s="18">
        <f t="shared" si="36"/>
        <v>6.8306687356714191E-2</v>
      </c>
      <c r="G53" s="18">
        <f t="shared" si="36"/>
        <v>0.12904040406271577</v>
      </c>
      <c r="H53" s="18">
        <f t="shared" si="36"/>
        <v>-6.56005092300882E-3</v>
      </c>
      <c r="I53" s="18">
        <f t="shared" si="36"/>
        <v>-0.12851754677942639</v>
      </c>
      <c r="J53" s="18">
        <f t="shared" si="36"/>
        <v>6.5439893122246851E-2</v>
      </c>
      <c r="K53" s="18">
        <f t="shared" si="36"/>
        <v>1.7155152257949835E-2</v>
      </c>
      <c r="L53" s="29"/>
      <c r="M53" s="31"/>
      <c r="N53" s="31"/>
      <c r="O53" s="31"/>
      <c r="P53" s="31"/>
      <c r="Q53" s="31"/>
    </row>
    <row r="54" spans="1:22" ht="31.5" x14ac:dyDescent="0.25">
      <c r="A54" s="44" t="s">
        <v>133</v>
      </c>
      <c r="B54" s="35"/>
      <c r="C54" s="29"/>
      <c r="D54" s="41"/>
      <c r="E54" s="41">
        <f t="shared" ref="E54:K54" si="37">E51/D51-1</f>
        <v>0.25139261728841777</v>
      </c>
      <c r="F54" s="41">
        <f t="shared" si="37"/>
        <v>7.3887698154895265E-3</v>
      </c>
      <c r="G54" s="41">
        <f t="shared" si="37"/>
        <v>9.6213474516552155E-2</v>
      </c>
      <c r="H54" s="41">
        <f t="shared" si="37"/>
        <v>0.12995171724474441</v>
      </c>
      <c r="I54" s="41">
        <f t="shared" si="37"/>
        <v>-0.14728462593691238</v>
      </c>
      <c r="J54" s="41">
        <f t="shared" si="37"/>
        <v>6.5439893122246851E-2</v>
      </c>
      <c r="K54" s="41">
        <f t="shared" si="37"/>
        <v>1.7155152257949835E-2</v>
      </c>
      <c r="L54" s="29"/>
      <c r="M54" s="31"/>
      <c r="N54" s="31"/>
      <c r="O54" s="31"/>
      <c r="P54" s="31"/>
      <c r="Q54" s="31"/>
    </row>
    <row r="55" spans="1:22" x14ac:dyDescent="0.25">
      <c r="A55" s="43" t="s">
        <v>134</v>
      </c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</row>
    <row r="58" spans="1:22" x14ac:dyDescent="0.25">
      <c r="D58" s="42"/>
      <c r="E58" s="42"/>
      <c r="F58" s="42"/>
      <c r="G58" s="42"/>
      <c r="H58" s="42"/>
      <c r="I58" s="42"/>
      <c r="J58" s="42"/>
      <c r="K58" s="42"/>
    </row>
    <row r="60" spans="1:22" x14ac:dyDescent="0.25">
      <c r="D60" s="34"/>
      <c r="E60" s="34"/>
      <c r="F60" s="34"/>
      <c r="G60" s="34"/>
      <c r="H60" s="34"/>
      <c r="I60" s="34"/>
      <c r="J60" s="34"/>
      <c r="K60" s="34"/>
    </row>
    <row r="62" spans="1:22" x14ac:dyDescent="0.25">
      <c r="D62" s="34"/>
      <c r="E62" s="34"/>
      <c r="F62" s="34"/>
      <c r="G62" s="34"/>
      <c r="H62" s="34"/>
      <c r="I62" s="34"/>
      <c r="J62" s="34"/>
      <c r="K62" s="34"/>
    </row>
    <row r="63" spans="1:22" x14ac:dyDescent="0.25">
      <c r="D63" s="34"/>
      <c r="E63" s="34"/>
      <c r="F63" s="34"/>
      <c r="G63" s="34"/>
      <c r="H63" s="34"/>
      <c r="I63" s="34"/>
      <c r="J63" s="34"/>
      <c r="K63" s="34"/>
    </row>
    <row r="64" spans="1:22" x14ac:dyDescent="0.25">
      <c r="D64" s="34"/>
      <c r="E64" s="34"/>
      <c r="F64" s="34"/>
      <c r="G64" s="34"/>
      <c r="H64" s="34"/>
      <c r="I64" s="34"/>
      <c r="J64" s="34"/>
      <c r="K64" s="34"/>
    </row>
    <row r="65" spans="4:11" x14ac:dyDescent="0.25">
      <c r="D65" s="34"/>
      <c r="E65" s="34"/>
      <c r="F65" s="34"/>
      <c r="G65" s="34"/>
      <c r="H65" s="34"/>
      <c r="I65" s="34"/>
      <c r="J65" s="34"/>
      <c r="K65" s="34"/>
    </row>
    <row r="66" spans="4:11" x14ac:dyDescent="0.25">
      <c r="D66" s="34"/>
      <c r="E66" s="34"/>
      <c r="F66" s="34"/>
      <c r="G66" s="34"/>
      <c r="H66" s="34"/>
      <c r="I66" s="34"/>
      <c r="J66" s="34"/>
      <c r="K66" s="34"/>
    </row>
  </sheetData>
  <mergeCells count="3">
    <mergeCell ref="A29:A30"/>
    <mergeCell ref="A32:A33"/>
    <mergeCell ref="L29:L30"/>
  </mergeCells>
  <phoneticPr fontId="9" type="noConversion"/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Footer>&amp;L&amp;Z&amp;F&amp;A&amp;R&amp;D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zoomScaleNormal="100" workbookViewId="0"/>
  </sheetViews>
  <sheetFormatPr defaultColWidth="9.28515625" defaultRowHeight="15" x14ac:dyDescent="0.25"/>
  <cols>
    <col min="1" max="1" width="35.7109375" bestFit="1" customWidth="1"/>
    <col min="2" max="10" width="10.7109375" customWidth="1"/>
  </cols>
  <sheetData>
    <row r="1" spans="1:10" ht="15.75" x14ac:dyDescent="0.25">
      <c r="A1" s="6" t="s">
        <v>1</v>
      </c>
      <c r="B1" s="7" t="s">
        <v>36</v>
      </c>
      <c r="C1" s="7"/>
      <c r="D1" s="7"/>
      <c r="E1" s="7"/>
      <c r="F1" s="7"/>
      <c r="G1" s="7"/>
      <c r="H1" s="7"/>
      <c r="I1" s="7"/>
      <c r="J1" s="7"/>
    </row>
    <row r="2" spans="1:10" ht="15.75" x14ac:dyDescent="0.25">
      <c r="A2" s="6" t="s">
        <v>2</v>
      </c>
      <c r="B2" s="8">
        <f>+Table1!B2</f>
        <v>45413</v>
      </c>
      <c r="C2" s="7"/>
      <c r="D2" s="7"/>
      <c r="E2" s="7"/>
      <c r="F2" s="7"/>
      <c r="G2" s="7"/>
      <c r="H2" s="7"/>
      <c r="I2" s="7"/>
      <c r="J2" s="7"/>
    </row>
    <row r="3" spans="1:10" ht="15.75" x14ac:dyDescent="0.25">
      <c r="A3" s="6" t="s">
        <v>38</v>
      </c>
      <c r="B3" s="5" t="s">
        <v>135</v>
      </c>
      <c r="C3" s="7"/>
      <c r="D3" s="7"/>
      <c r="E3" s="7"/>
      <c r="F3" s="7"/>
      <c r="G3" s="7"/>
      <c r="H3" s="7"/>
      <c r="I3" s="7"/>
      <c r="J3" s="7"/>
    </row>
    <row r="4" spans="1:10" ht="15.75" x14ac:dyDescent="0.25">
      <c r="A4" s="4" t="s">
        <v>9</v>
      </c>
      <c r="B4" s="21" t="s">
        <v>27</v>
      </c>
      <c r="C4" s="20"/>
      <c r="D4" s="20"/>
      <c r="E4" s="21" t="s">
        <v>157</v>
      </c>
      <c r="F4" s="20"/>
      <c r="G4" s="22"/>
      <c r="H4" s="21" t="s">
        <v>182</v>
      </c>
      <c r="I4" s="20"/>
      <c r="J4" s="22"/>
    </row>
    <row r="5" spans="1:10" ht="15.75" customHeight="1" x14ac:dyDescent="0.25">
      <c r="A5" s="1" t="s">
        <v>10</v>
      </c>
      <c r="B5" s="71" t="s">
        <v>11</v>
      </c>
      <c r="C5" s="72"/>
      <c r="D5" s="73"/>
      <c r="E5" s="71" t="s">
        <v>12</v>
      </c>
      <c r="F5" s="72"/>
      <c r="G5" s="73"/>
      <c r="H5" s="74" t="s">
        <v>13</v>
      </c>
      <c r="I5" s="75"/>
      <c r="J5" s="76"/>
    </row>
    <row r="6" spans="1:10" ht="15.75" x14ac:dyDescent="0.25">
      <c r="A6" s="1" t="s">
        <v>14</v>
      </c>
      <c r="B6" s="23" t="s">
        <v>15</v>
      </c>
      <c r="C6" s="23" t="s">
        <v>16</v>
      </c>
      <c r="D6" s="23" t="s">
        <v>17</v>
      </c>
      <c r="E6" s="23" t="s">
        <v>15</v>
      </c>
      <c r="F6" s="23" t="s">
        <v>16</v>
      </c>
      <c r="G6" s="24" t="s">
        <v>17</v>
      </c>
      <c r="H6" s="11" t="s">
        <v>15</v>
      </c>
      <c r="I6" s="11" t="s">
        <v>16</v>
      </c>
      <c r="J6" s="11" t="s">
        <v>17</v>
      </c>
    </row>
    <row r="7" spans="1:10" ht="15.75" x14ac:dyDescent="0.25">
      <c r="A7" s="3" t="s">
        <v>18</v>
      </c>
      <c r="B7" s="53">
        <f>C7-Table1!G51*0.015</f>
        <v>-75.711122359266184</v>
      </c>
      <c r="C7" s="53">
        <f>Table1!G52</f>
        <v>-66.83313471426618</v>
      </c>
      <c r="D7" s="53">
        <f>+C7+Table1!G51*0.015</f>
        <v>-57.955147069266175</v>
      </c>
      <c r="E7" s="53">
        <f>F7-Table1!H51*0.03</f>
        <v>-5.6614479714592036</v>
      </c>
      <c r="F7" s="53">
        <f>Table1!H52</f>
        <v>14.401946798831545</v>
      </c>
      <c r="G7" s="53">
        <f>+F7+Table1!H51*0.03</f>
        <v>34.465341569122295</v>
      </c>
      <c r="H7" s="54"/>
      <c r="I7" s="54"/>
      <c r="J7" s="54"/>
    </row>
    <row r="8" spans="1:10" ht="15.75" x14ac:dyDescent="0.25">
      <c r="A8" s="3" t="s">
        <v>19</v>
      </c>
      <c r="B8" s="54"/>
      <c r="C8" s="54"/>
      <c r="D8" s="54"/>
      <c r="E8" s="55">
        <f>F8-Table1!H9*0.02</f>
        <v>0</v>
      </c>
      <c r="F8" s="55">
        <f>Table1!H9</f>
        <v>0</v>
      </c>
      <c r="G8" s="55">
        <f>F8+Table1!H9*0.02</f>
        <v>0</v>
      </c>
      <c r="H8" s="55">
        <f>I8-Table1!I9*0.02</f>
        <v>0</v>
      </c>
      <c r="I8" s="55">
        <f>Table1!I9</f>
        <v>0</v>
      </c>
      <c r="J8" s="55">
        <f>I8+Table1!I9*0.02</f>
        <v>0</v>
      </c>
    </row>
    <row r="9" spans="1:10" ht="15.75" x14ac:dyDescent="0.25">
      <c r="A9" s="3" t="s">
        <v>20</v>
      </c>
      <c r="B9" s="54"/>
      <c r="C9" s="54"/>
      <c r="D9" s="54"/>
      <c r="E9" s="55">
        <f>MIN(Table1!$D$8:$I$8)</f>
        <v>-24.211852300949261</v>
      </c>
      <c r="F9" s="55">
        <f>+Table1!H8</f>
        <v>-0.65714710212635008</v>
      </c>
      <c r="G9" s="55">
        <f>MAX(Table1!$D$8:$I$8)</f>
        <v>-0.60692550580425897</v>
      </c>
      <c r="H9" s="55">
        <f>MIN(Table1!$D$8:$I$8)</f>
        <v>-24.211852300949261</v>
      </c>
      <c r="I9" s="55">
        <f>+Table1!I8</f>
        <v>-0.68438596175021227</v>
      </c>
      <c r="J9" s="55">
        <f>MAX(Table1!$D$8:$I$8)</f>
        <v>-0.60692550580425897</v>
      </c>
    </row>
    <row r="10" spans="1:10" ht="15.75" x14ac:dyDescent="0.25">
      <c r="A10" s="3" t="s">
        <v>21</v>
      </c>
      <c r="B10" s="54"/>
      <c r="C10" s="54"/>
      <c r="D10" s="54"/>
      <c r="E10" s="55">
        <f>F10</f>
        <v>0</v>
      </c>
      <c r="F10" s="55">
        <f>+Table1!H23</f>
        <v>0</v>
      </c>
      <c r="G10" s="55">
        <f>F10</f>
        <v>0</v>
      </c>
      <c r="H10" s="55">
        <f>I10</f>
        <v>0</v>
      </c>
      <c r="I10" s="55">
        <f>+Table1!I23</f>
        <v>0</v>
      </c>
      <c r="J10" s="55">
        <f>I10</f>
        <v>0</v>
      </c>
    </row>
    <row r="11" spans="1:10" ht="15.75" x14ac:dyDescent="0.25">
      <c r="A11" s="3" t="s">
        <v>22</v>
      </c>
      <c r="B11" s="54"/>
      <c r="C11" s="54"/>
      <c r="D11" s="54"/>
      <c r="E11" s="55">
        <f>F11</f>
        <v>10.513582864802519</v>
      </c>
      <c r="F11" s="55">
        <f>+Table1!H24</f>
        <v>10.513582864802519</v>
      </c>
      <c r="G11" s="55">
        <f>F11</f>
        <v>10.513582864802519</v>
      </c>
      <c r="H11" s="55">
        <f>I11</f>
        <v>12.030855435238079</v>
      </c>
      <c r="I11" s="55">
        <f>+Table1!I24</f>
        <v>12.030855435238079</v>
      </c>
      <c r="J11" s="55">
        <f>I11</f>
        <v>12.030855435238079</v>
      </c>
    </row>
    <row r="12" spans="1:10" ht="31.5" x14ac:dyDescent="0.25">
      <c r="A12" s="3" t="s">
        <v>23</v>
      </c>
      <c r="B12" s="54"/>
      <c r="C12" s="54"/>
      <c r="D12" s="54"/>
      <c r="E12" s="55">
        <f>F12</f>
        <v>0</v>
      </c>
      <c r="F12" s="55">
        <f>+Table1!H25</f>
        <v>0</v>
      </c>
      <c r="G12" s="55">
        <f>F12</f>
        <v>0</v>
      </c>
      <c r="H12" s="55">
        <f>I12</f>
        <v>0</v>
      </c>
      <c r="I12" s="55">
        <f>+Table1!I25</f>
        <v>0</v>
      </c>
      <c r="J12" s="55">
        <f>I12</f>
        <v>0</v>
      </c>
    </row>
    <row r="13" spans="1:10" ht="15.75" x14ac:dyDescent="0.25">
      <c r="A13" s="3" t="s">
        <v>24</v>
      </c>
      <c r="B13" s="54"/>
      <c r="C13" s="54"/>
      <c r="D13" s="54"/>
      <c r="E13" s="55">
        <f>F13</f>
        <v>0</v>
      </c>
      <c r="F13" s="55">
        <f>+Table1!H26</f>
        <v>0</v>
      </c>
      <c r="G13" s="55">
        <f>F13</f>
        <v>0</v>
      </c>
      <c r="H13" s="55">
        <f>I13</f>
        <v>0</v>
      </c>
      <c r="I13" s="55">
        <f>+Table1!I26</f>
        <v>0</v>
      </c>
      <c r="J13" s="55">
        <f>I13</f>
        <v>0</v>
      </c>
    </row>
    <row r="14" spans="1:10" ht="15.75" x14ac:dyDescent="0.25">
      <c r="A14" s="3" t="s">
        <v>25</v>
      </c>
      <c r="B14" s="54"/>
      <c r="C14" s="54"/>
      <c r="D14" s="54"/>
      <c r="E14" s="55">
        <f>MIN(Table1!$D$30:$I$30)</f>
        <v>-0.26098867999999997</v>
      </c>
      <c r="F14" s="55">
        <f>+Table1!H30</f>
        <v>0</v>
      </c>
      <c r="G14" s="55">
        <f>MAX(Table1!$D$30:$I$30)</f>
        <v>5.5624060000000003E-2</v>
      </c>
      <c r="H14" s="55">
        <f>MIN(Table1!$D$30:$I$30)</f>
        <v>-0.26098867999999997</v>
      </c>
      <c r="I14" s="55">
        <f>+Table1!I30</f>
        <v>0</v>
      </c>
      <c r="J14" s="55">
        <f>MAX(Table1!$D$30:$I$30)</f>
        <v>5.5624060000000003E-2</v>
      </c>
    </row>
    <row r="15" spans="1:10" ht="15.75" x14ac:dyDescent="0.25">
      <c r="A15" s="3" t="s">
        <v>5</v>
      </c>
      <c r="B15" s="54"/>
      <c r="C15" s="54"/>
      <c r="D15" s="54"/>
      <c r="E15" s="55">
        <f>MIN(1,Table1!$D$28:$I$28)</f>
        <v>1</v>
      </c>
      <c r="F15" s="55">
        <f>+Table1!H28</f>
        <v>2.2465035278557095</v>
      </c>
      <c r="G15" s="55">
        <f>MAX(Table1!$D$28:$I$28)</f>
        <v>2.9722764975426581</v>
      </c>
      <c r="H15" s="55">
        <f>MIN(1,Table1!$D$28:$I$28)</f>
        <v>1</v>
      </c>
      <c r="I15" s="55">
        <f>+Table1!I28</f>
        <v>2.285031092726582</v>
      </c>
      <c r="J15" s="55">
        <f>MAX(Table1!$D$28:$I$28)</f>
        <v>2.9722764975426581</v>
      </c>
    </row>
    <row r="16" spans="1:10" ht="15.75" x14ac:dyDescent="0.25">
      <c r="A16" s="3" t="s">
        <v>191</v>
      </c>
      <c r="B16" s="63"/>
      <c r="C16" s="63"/>
      <c r="D16" s="63"/>
      <c r="E16" s="55">
        <f>-SUM(F8:F15)+SUM(E8:E15)+F16-D7+C7</f>
        <v>620.43769382584821</v>
      </c>
      <c r="F16" s="55">
        <f>Table1!H43</f>
        <v>654.37787887752677</v>
      </c>
      <c r="G16" s="55">
        <f>-SUM(F8:F15)+SUM(G8:G15)+F16+C7-B7</f>
        <v>664.08748514853573</v>
      </c>
      <c r="H16" s="55">
        <f>-SUM(I8:I15)+SUM(H8:H15)+I16-E7+D7</f>
        <v>492.91165400772985</v>
      </c>
      <c r="I16" s="55">
        <f>Table1!I43</f>
        <v>570.27883921746241</v>
      </c>
      <c r="J16" s="55">
        <f>-SUM(I8:I15)+SUM(J8:J15)+I16+D7-C7</f>
        <v>579.97715678322436</v>
      </c>
    </row>
    <row r="17" spans="1:10" ht="15.75" x14ac:dyDescent="0.25">
      <c r="A17" s="3" t="s">
        <v>26</v>
      </c>
      <c r="B17" s="54"/>
      <c r="C17" s="54"/>
      <c r="D17" s="54"/>
      <c r="E17" s="55">
        <f>+F17*0.94</f>
        <v>628.6530361357768</v>
      </c>
      <c r="F17" s="55">
        <f>Table1!H51</f>
        <v>668.77982567635831</v>
      </c>
      <c r="G17" s="55">
        <f>+F17*1.06</f>
        <v>708.90661521693983</v>
      </c>
      <c r="H17" s="55">
        <f>+I17*0.94</f>
        <v>536.06210886441465</v>
      </c>
      <c r="I17" s="55">
        <f>Table1!I51</f>
        <v>570.27883921746241</v>
      </c>
      <c r="J17" s="55">
        <f>+I17*1.06</f>
        <v>604.49556957051016</v>
      </c>
    </row>
    <row r="18" spans="1:10" ht="16.149999999999999" customHeight="1" x14ac:dyDescent="0.25"/>
  </sheetData>
  <mergeCells count="3">
    <mergeCell ref="B5:D5"/>
    <mergeCell ref="E5:G5"/>
    <mergeCell ref="H5:J5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&amp;L&amp;Z&amp;F&amp;A&amp;R&amp;D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0"/>
  <sheetViews>
    <sheetView zoomScaleNormal="100" workbookViewId="0"/>
  </sheetViews>
  <sheetFormatPr defaultColWidth="8.7109375" defaultRowHeight="15.75" x14ac:dyDescent="0.25"/>
  <cols>
    <col min="1" max="1" width="49.28515625" style="26" customWidth="1"/>
    <col min="2" max="2" width="4.42578125" style="26" customWidth="1"/>
    <col min="3" max="9" width="17.42578125" style="26" customWidth="1"/>
    <col min="10" max="16384" width="8.7109375" style="26"/>
  </cols>
  <sheetData>
    <row r="1" spans="1:9" x14ac:dyDescent="0.25">
      <c r="A1" s="6" t="s">
        <v>1</v>
      </c>
      <c r="B1" s="25"/>
      <c r="C1" s="25" t="str">
        <f>Table1!B1</f>
        <v>Electricity North West</v>
      </c>
      <c r="D1" s="25"/>
      <c r="E1" s="25"/>
      <c r="F1" s="25"/>
      <c r="G1" s="25"/>
      <c r="I1" s="25"/>
    </row>
    <row r="2" spans="1:9" x14ac:dyDescent="0.25">
      <c r="A2" s="6" t="s">
        <v>2</v>
      </c>
      <c r="B2" s="25"/>
      <c r="C2" s="27">
        <f>Table1!B2</f>
        <v>45413</v>
      </c>
      <c r="D2" s="25"/>
      <c r="E2" s="25"/>
      <c r="F2" s="25"/>
      <c r="G2" s="25"/>
      <c r="I2" s="25"/>
    </row>
    <row r="3" spans="1:9" x14ac:dyDescent="0.25">
      <c r="A3" s="6" t="s">
        <v>38</v>
      </c>
      <c r="B3" s="25"/>
      <c r="C3" s="28" t="s">
        <v>145</v>
      </c>
      <c r="D3" s="25"/>
      <c r="E3" s="25"/>
      <c r="F3" s="25"/>
      <c r="G3" s="25"/>
      <c r="I3" s="25"/>
    </row>
    <row r="4" spans="1:9" x14ac:dyDescent="0.25">
      <c r="A4" s="6" t="s">
        <v>146</v>
      </c>
      <c r="B4" s="25"/>
      <c r="C4" s="25"/>
      <c r="D4" s="25"/>
      <c r="E4" s="25"/>
      <c r="F4" s="25"/>
      <c r="G4" s="25"/>
      <c r="I4" s="25"/>
    </row>
    <row r="5" spans="1:9" x14ac:dyDescent="0.25">
      <c r="A5" s="6" t="s">
        <v>3</v>
      </c>
      <c r="B5" s="25"/>
      <c r="C5" s="25" t="s">
        <v>200</v>
      </c>
      <c r="D5" s="25"/>
      <c r="E5" s="25"/>
      <c r="F5" s="25"/>
      <c r="G5" s="25"/>
      <c r="I5" s="25"/>
    </row>
    <row r="6" spans="1:9" x14ac:dyDescent="0.25">
      <c r="A6" s="43" t="s">
        <v>144</v>
      </c>
      <c r="B6" s="25"/>
      <c r="C6" s="25"/>
      <c r="D6" s="25"/>
      <c r="E6" s="25"/>
      <c r="F6" s="25"/>
      <c r="G6" s="25"/>
      <c r="I6" s="25"/>
    </row>
    <row r="7" spans="1:9" x14ac:dyDescent="0.25">
      <c r="A7" s="43"/>
      <c r="B7" s="25"/>
      <c r="C7" s="25"/>
      <c r="D7" s="25"/>
      <c r="E7" s="25"/>
      <c r="F7" s="25"/>
      <c r="G7" s="25"/>
      <c r="I7" s="25"/>
    </row>
    <row r="8" spans="1:9" ht="47.25" x14ac:dyDescent="0.25">
      <c r="A8" s="50"/>
      <c r="B8" s="51" t="s">
        <v>137</v>
      </c>
      <c r="C8" s="56" t="s">
        <v>138</v>
      </c>
      <c r="D8" s="56" t="s">
        <v>139</v>
      </c>
      <c r="E8" s="56" t="s">
        <v>140</v>
      </c>
      <c r="F8" s="56" t="s">
        <v>141</v>
      </c>
      <c r="G8" s="56" t="s">
        <v>142</v>
      </c>
      <c r="H8" s="57" t="s">
        <v>8</v>
      </c>
      <c r="I8" s="11" t="s">
        <v>143</v>
      </c>
    </row>
    <row r="9" spans="1:9" x14ac:dyDescent="0.25">
      <c r="A9" s="52" t="s">
        <v>161</v>
      </c>
      <c r="B9" s="48"/>
      <c r="C9" s="49">
        <v>11.672000000000001</v>
      </c>
      <c r="D9" s="49">
        <v>2.4940000000000002</v>
      </c>
      <c r="E9" s="49">
        <v>0.222</v>
      </c>
      <c r="F9" s="59">
        <v>10.17</v>
      </c>
      <c r="G9" s="59">
        <v>0</v>
      </c>
      <c r="H9" s="59">
        <v>0</v>
      </c>
      <c r="I9" s="58">
        <v>0</v>
      </c>
    </row>
    <row r="10" spans="1:9" x14ac:dyDescent="0.25">
      <c r="A10" s="52" t="s">
        <v>147</v>
      </c>
      <c r="B10" s="48"/>
      <c r="C10" s="49">
        <v>11.672000000000001</v>
      </c>
      <c r="D10" s="49">
        <v>2.4940000000000002</v>
      </c>
      <c r="E10" s="49">
        <v>0.222</v>
      </c>
      <c r="F10" s="59">
        <v>0</v>
      </c>
      <c r="G10" s="59">
        <v>0</v>
      </c>
      <c r="H10" s="59">
        <v>0</v>
      </c>
      <c r="I10" s="58">
        <v>0</v>
      </c>
    </row>
    <row r="11" spans="1:9" x14ac:dyDescent="0.25">
      <c r="A11" s="52" t="s">
        <v>162</v>
      </c>
      <c r="B11" s="48"/>
      <c r="C11" s="49">
        <v>11.858000000000001</v>
      </c>
      <c r="D11" s="49">
        <v>2.5339999999999998</v>
      </c>
      <c r="E11" s="49">
        <v>0.22600000000000001</v>
      </c>
      <c r="F11" s="59">
        <v>7.08</v>
      </c>
      <c r="G11" s="59">
        <v>0</v>
      </c>
      <c r="H11" s="59">
        <v>0</v>
      </c>
      <c r="I11" s="58">
        <v>0</v>
      </c>
    </row>
    <row r="12" spans="1:9" x14ac:dyDescent="0.25">
      <c r="A12" s="52" t="s">
        <v>163</v>
      </c>
      <c r="B12" s="48"/>
      <c r="C12" s="49">
        <v>11.858000000000001</v>
      </c>
      <c r="D12" s="49">
        <v>2.5339999999999998</v>
      </c>
      <c r="E12" s="49">
        <v>0.22600000000000001</v>
      </c>
      <c r="F12" s="59">
        <v>8.5399999999999991</v>
      </c>
      <c r="G12" s="59">
        <v>0</v>
      </c>
      <c r="H12" s="59">
        <v>0</v>
      </c>
      <c r="I12" s="58">
        <v>0</v>
      </c>
    </row>
    <row r="13" spans="1:9" x14ac:dyDescent="0.25">
      <c r="A13" s="52" t="s">
        <v>164</v>
      </c>
      <c r="B13" s="48"/>
      <c r="C13" s="49">
        <v>11.858000000000001</v>
      </c>
      <c r="D13" s="49">
        <v>2.5339999999999998</v>
      </c>
      <c r="E13" s="49">
        <v>0.22600000000000001</v>
      </c>
      <c r="F13" s="59">
        <v>14.32</v>
      </c>
      <c r="G13" s="59">
        <v>0</v>
      </c>
      <c r="H13" s="59">
        <v>0</v>
      </c>
      <c r="I13" s="58">
        <v>0</v>
      </c>
    </row>
    <row r="14" spans="1:9" x14ac:dyDescent="0.25">
      <c r="A14" s="52" t="s">
        <v>165</v>
      </c>
      <c r="B14" s="48"/>
      <c r="C14" s="49">
        <v>11.858000000000001</v>
      </c>
      <c r="D14" s="49">
        <v>2.5339999999999998</v>
      </c>
      <c r="E14" s="49">
        <v>0.22600000000000001</v>
      </c>
      <c r="F14" s="59">
        <v>25.02</v>
      </c>
      <c r="G14" s="59">
        <v>0</v>
      </c>
      <c r="H14" s="59">
        <v>0</v>
      </c>
      <c r="I14" s="58">
        <v>0</v>
      </c>
    </row>
    <row r="15" spans="1:9" x14ac:dyDescent="0.25">
      <c r="A15" s="52" t="s">
        <v>166</v>
      </c>
      <c r="B15" s="48"/>
      <c r="C15" s="49">
        <v>11.858000000000001</v>
      </c>
      <c r="D15" s="49">
        <v>2.5339999999999998</v>
      </c>
      <c r="E15" s="49">
        <v>0.22600000000000001</v>
      </c>
      <c r="F15" s="59">
        <v>62.94</v>
      </c>
      <c r="G15" s="59">
        <v>0</v>
      </c>
      <c r="H15" s="59">
        <v>0</v>
      </c>
      <c r="I15" s="58">
        <v>0</v>
      </c>
    </row>
    <row r="16" spans="1:9" x14ac:dyDescent="0.25">
      <c r="A16" s="52" t="s">
        <v>148</v>
      </c>
      <c r="B16" s="48"/>
      <c r="C16" s="49">
        <v>11.858000000000001</v>
      </c>
      <c r="D16" s="49">
        <v>2.5339999999999998</v>
      </c>
      <c r="E16" s="49">
        <v>0.22600000000000001</v>
      </c>
      <c r="F16" s="59">
        <v>0</v>
      </c>
      <c r="G16" s="59">
        <v>0</v>
      </c>
      <c r="H16" s="59">
        <v>0</v>
      </c>
      <c r="I16" s="58">
        <v>0</v>
      </c>
    </row>
    <row r="17" spans="1:9" x14ac:dyDescent="0.25">
      <c r="A17" s="52" t="s">
        <v>167</v>
      </c>
      <c r="B17" s="48"/>
      <c r="C17" s="49">
        <v>8.2059999999999995</v>
      </c>
      <c r="D17" s="49">
        <v>1.6060000000000001</v>
      </c>
      <c r="E17" s="49">
        <v>0.14699999999999999</v>
      </c>
      <c r="F17" s="59">
        <v>23.83</v>
      </c>
      <c r="G17" s="59">
        <v>5.82</v>
      </c>
      <c r="H17" s="59">
        <v>5.82</v>
      </c>
      <c r="I17" s="58">
        <v>0.16600000000000001</v>
      </c>
    </row>
    <row r="18" spans="1:9" x14ac:dyDescent="0.25">
      <c r="A18" s="52" t="s">
        <v>168</v>
      </c>
      <c r="B18" s="48"/>
      <c r="C18" s="49">
        <v>8.2059999999999995</v>
      </c>
      <c r="D18" s="49">
        <v>1.6060000000000001</v>
      </c>
      <c r="E18" s="49">
        <v>0.14699999999999999</v>
      </c>
      <c r="F18" s="59">
        <v>97.28</v>
      </c>
      <c r="G18" s="59">
        <v>5.82</v>
      </c>
      <c r="H18" s="59">
        <v>5.82</v>
      </c>
      <c r="I18" s="58">
        <v>0.16600000000000001</v>
      </c>
    </row>
    <row r="19" spans="1:9" x14ac:dyDescent="0.25">
      <c r="A19" s="52" t="s">
        <v>169</v>
      </c>
      <c r="B19" s="48"/>
      <c r="C19" s="49">
        <v>8.2059999999999995</v>
      </c>
      <c r="D19" s="49">
        <v>1.6060000000000001</v>
      </c>
      <c r="E19" s="49">
        <v>0.14699999999999999</v>
      </c>
      <c r="F19" s="59">
        <v>206.98</v>
      </c>
      <c r="G19" s="59">
        <v>5.82</v>
      </c>
      <c r="H19" s="59">
        <v>5.82</v>
      </c>
      <c r="I19" s="58">
        <v>0.16600000000000001</v>
      </c>
    </row>
    <row r="20" spans="1:9" x14ac:dyDescent="0.25">
      <c r="A20" s="52" t="s">
        <v>170</v>
      </c>
      <c r="B20" s="48"/>
      <c r="C20" s="49">
        <v>8.2059999999999995</v>
      </c>
      <c r="D20" s="49">
        <v>1.6060000000000001</v>
      </c>
      <c r="E20" s="49">
        <v>0.14699999999999999</v>
      </c>
      <c r="F20" s="59">
        <v>322.56</v>
      </c>
      <c r="G20" s="59">
        <v>5.82</v>
      </c>
      <c r="H20" s="59">
        <v>5.82</v>
      </c>
      <c r="I20" s="58">
        <v>0.16600000000000001</v>
      </c>
    </row>
    <row r="21" spans="1:9" x14ac:dyDescent="0.25">
      <c r="A21" s="52" t="s">
        <v>171</v>
      </c>
      <c r="B21" s="48"/>
      <c r="C21" s="49">
        <v>8.2059999999999995</v>
      </c>
      <c r="D21" s="49">
        <v>1.6060000000000001</v>
      </c>
      <c r="E21" s="49">
        <v>0.14699999999999999</v>
      </c>
      <c r="F21" s="59">
        <v>651.02</v>
      </c>
      <c r="G21" s="59">
        <v>5.82</v>
      </c>
      <c r="H21" s="59">
        <v>5.82</v>
      </c>
      <c r="I21" s="58">
        <v>0.16600000000000001</v>
      </c>
    </row>
    <row r="22" spans="1:9" x14ac:dyDescent="0.25">
      <c r="A22" s="52" t="s">
        <v>172</v>
      </c>
      <c r="B22" s="48"/>
      <c r="C22" s="49">
        <v>6.3719999999999999</v>
      </c>
      <c r="D22" s="49">
        <v>1.1220000000000001</v>
      </c>
      <c r="E22" s="49">
        <v>0.107</v>
      </c>
      <c r="F22" s="59">
        <v>76.900000000000006</v>
      </c>
      <c r="G22" s="59">
        <v>6.7</v>
      </c>
      <c r="H22" s="59">
        <v>6.7</v>
      </c>
      <c r="I22" s="58">
        <v>0.113</v>
      </c>
    </row>
    <row r="23" spans="1:9" x14ac:dyDescent="0.25">
      <c r="A23" s="52" t="s">
        <v>173</v>
      </c>
      <c r="B23" s="48"/>
      <c r="C23" s="49">
        <v>6.3719999999999999</v>
      </c>
      <c r="D23" s="49">
        <v>1.1220000000000001</v>
      </c>
      <c r="E23" s="49">
        <v>0.107</v>
      </c>
      <c r="F23" s="59">
        <v>150.35</v>
      </c>
      <c r="G23" s="59">
        <v>6.7</v>
      </c>
      <c r="H23" s="59">
        <v>6.7</v>
      </c>
      <c r="I23" s="58">
        <v>0.113</v>
      </c>
    </row>
    <row r="24" spans="1:9" x14ac:dyDescent="0.25">
      <c r="A24" s="52" t="s">
        <v>174</v>
      </c>
      <c r="B24" s="48"/>
      <c r="C24" s="49">
        <v>6.3719999999999999</v>
      </c>
      <c r="D24" s="49">
        <v>1.1220000000000001</v>
      </c>
      <c r="E24" s="49">
        <v>0.107</v>
      </c>
      <c r="F24" s="59">
        <v>260.06</v>
      </c>
      <c r="G24" s="59">
        <v>6.7</v>
      </c>
      <c r="H24" s="59">
        <v>6.7</v>
      </c>
      <c r="I24" s="58">
        <v>0.113</v>
      </c>
    </row>
    <row r="25" spans="1:9" x14ac:dyDescent="0.25">
      <c r="A25" s="52" t="s">
        <v>175</v>
      </c>
      <c r="B25" s="48"/>
      <c r="C25" s="49">
        <v>6.3719999999999999</v>
      </c>
      <c r="D25" s="49">
        <v>1.1220000000000001</v>
      </c>
      <c r="E25" s="49">
        <v>0.107</v>
      </c>
      <c r="F25" s="59">
        <v>375.64</v>
      </c>
      <c r="G25" s="59">
        <v>6.7</v>
      </c>
      <c r="H25" s="59">
        <v>6.7</v>
      </c>
      <c r="I25" s="58">
        <v>0.113</v>
      </c>
    </row>
    <row r="26" spans="1:9" x14ac:dyDescent="0.25">
      <c r="A26" s="52" t="s">
        <v>176</v>
      </c>
      <c r="B26" s="48"/>
      <c r="C26" s="49">
        <v>6.3719999999999999</v>
      </c>
      <c r="D26" s="49">
        <v>1.1220000000000001</v>
      </c>
      <c r="E26" s="49">
        <v>0.107</v>
      </c>
      <c r="F26" s="59">
        <v>704.09</v>
      </c>
      <c r="G26" s="59">
        <v>6.7</v>
      </c>
      <c r="H26" s="59">
        <v>6.7</v>
      </c>
      <c r="I26" s="58">
        <v>0.113</v>
      </c>
    </row>
    <row r="27" spans="1:9" x14ac:dyDescent="0.25">
      <c r="A27" s="52" t="s">
        <v>177</v>
      </c>
      <c r="B27" s="48"/>
      <c r="C27" s="49">
        <v>4.516</v>
      </c>
      <c r="D27" s="49">
        <v>0.67400000000000004</v>
      </c>
      <c r="E27" s="49">
        <v>6.8000000000000005E-2</v>
      </c>
      <c r="F27" s="59">
        <v>169.1</v>
      </c>
      <c r="G27" s="59">
        <v>6.94</v>
      </c>
      <c r="H27" s="59">
        <v>6.94</v>
      </c>
      <c r="I27" s="58">
        <v>6.8000000000000005E-2</v>
      </c>
    </row>
    <row r="28" spans="1:9" x14ac:dyDescent="0.25">
      <c r="A28" s="52" t="s">
        <v>178</v>
      </c>
      <c r="B28" s="48"/>
      <c r="C28" s="49">
        <v>4.516</v>
      </c>
      <c r="D28" s="49">
        <v>0.67400000000000004</v>
      </c>
      <c r="E28" s="49">
        <v>6.8000000000000005E-2</v>
      </c>
      <c r="F28" s="59">
        <v>637.54999999999995</v>
      </c>
      <c r="G28" s="59">
        <v>6.94</v>
      </c>
      <c r="H28" s="59">
        <v>6.94</v>
      </c>
      <c r="I28" s="58">
        <v>6.8000000000000005E-2</v>
      </c>
    </row>
    <row r="29" spans="1:9" x14ac:dyDescent="0.25">
      <c r="A29" s="52" t="s">
        <v>179</v>
      </c>
      <c r="B29" s="48"/>
      <c r="C29" s="49">
        <v>4.516</v>
      </c>
      <c r="D29" s="49">
        <v>0.67400000000000004</v>
      </c>
      <c r="E29" s="49">
        <v>6.8000000000000005E-2</v>
      </c>
      <c r="F29" s="59">
        <v>1700.32</v>
      </c>
      <c r="G29" s="59">
        <v>6.94</v>
      </c>
      <c r="H29" s="59">
        <v>6.94</v>
      </c>
      <c r="I29" s="58">
        <v>6.8000000000000005E-2</v>
      </c>
    </row>
    <row r="30" spans="1:9" x14ac:dyDescent="0.25">
      <c r="A30" s="52" t="s">
        <v>180</v>
      </c>
      <c r="B30" s="48"/>
      <c r="C30" s="49">
        <v>4.516</v>
      </c>
      <c r="D30" s="49">
        <v>0.67400000000000004</v>
      </c>
      <c r="E30" s="49">
        <v>6.8000000000000005E-2</v>
      </c>
      <c r="F30" s="59">
        <v>3378.92</v>
      </c>
      <c r="G30" s="59">
        <v>6.94</v>
      </c>
      <c r="H30" s="59">
        <v>6.94</v>
      </c>
      <c r="I30" s="58">
        <v>6.8000000000000005E-2</v>
      </c>
    </row>
    <row r="31" spans="1:9" x14ac:dyDescent="0.25">
      <c r="A31" s="52" t="s">
        <v>181</v>
      </c>
      <c r="B31" s="48"/>
      <c r="C31" s="49">
        <v>4.516</v>
      </c>
      <c r="D31" s="49">
        <v>0.67400000000000004</v>
      </c>
      <c r="E31" s="49">
        <v>6.8000000000000005E-2</v>
      </c>
      <c r="F31" s="59">
        <v>7654.48</v>
      </c>
      <c r="G31" s="59">
        <v>6.94</v>
      </c>
      <c r="H31" s="59">
        <v>6.94</v>
      </c>
      <c r="I31" s="58">
        <v>6.8000000000000005E-2</v>
      </c>
    </row>
    <row r="32" spans="1:9" x14ac:dyDescent="0.25">
      <c r="A32" s="52" t="s">
        <v>149</v>
      </c>
      <c r="B32" s="48"/>
      <c r="C32" s="49">
        <v>26.936</v>
      </c>
      <c r="D32" s="49">
        <v>4.968</v>
      </c>
      <c r="E32" s="49">
        <v>3.452</v>
      </c>
      <c r="F32" s="59">
        <v>0</v>
      </c>
      <c r="G32" s="59">
        <v>0</v>
      </c>
      <c r="H32" s="59">
        <v>0</v>
      </c>
      <c r="I32" s="58">
        <v>0</v>
      </c>
    </row>
    <row r="33" spans="1:9" x14ac:dyDescent="0.25">
      <c r="A33" s="52" t="s">
        <v>150</v>
      </c>
      <c r="B33" s="48"/>
      <c r="C33" s="49">
        <v>-8.3949999999999996</v>
      </c>
      <c r="D33" s="49">
        <v>-1.794</v>
      </c>
      <c r="E33" s="49">
        <v>-0.16</v>
      </c>
      <c r="F33" s="59">
        <v>0</v>
      </c>
      <c r="G33" s="59">
        <v>0</v>
      </c>
      <c r="H33" s="59">
        <v>0</v>
      </c>
      <c r="I33" s="58">
        <v>0</v>
      </c>
    </row>
    <row r="34" spans="1:9" x14ac:dyDescent="0.25">
      <c r="A34" s="52" t="s">
        <v>151</v>
      </c>
      <c r="B34" s="48"/>
      <c r="C34" s="49">
        <v>-6.8109999999999999</v>
      </c>
      <c r="D34" s="49">
        <v>-1.36</v>
      </c>
      <c r="E34" s="49">
        <v>-0.124</v>
      </c>
      <c r="F34" s="59">
        <v>0</v>
      </c>
      <c r="G34" s="59">
        <v>0</v>
      </c>
      <c r="H34" s="59">
        <v>0</v>
      </c>
      <c r="I34" s="58">
        <v>0</v>
      </c>
    </row>
    <row r="35" spans="1:9" x14ac:dyDescent="0.25">
      <c r="A35" s="52" t="s">
        <v>152</v>
      </c>
      <c r="B35" s="48"/>
      <c r="C35" s="49">
        <v>-8.3949999999999996</v>
      </c>
      <c r="D35" s="49">
        <v>-1.794</v>
      </c>
      <c r="E35" s="49">
        <v>-0.16</v>
      </c>
      <c r="F35" s="59">
        <v>0</v>
      </c>
      <c r="G35" s="59">
        <v>0</v>
      </c>
      <c r="H35" s="59">
        <v>0</v>
      </c>
      <c r="I35" s="58">
        <v>0.16900000000000001</v>
      </c>
    </row>
    <row r="36" spans="1:9" x14ac:dyDescent="0.25">
      <c r="A36" s="52" t="s">
        <v>158</v>
      </c>
      <c r="B36" s="48"/>
      <c r="C36" s="49">
        <v>-8.3949999999999996</v>
      </c>
      <c r="D36" s="49">
        <v>-1.794</v>
      </c>
      <c r="E36" s="49">
        <v>-0.16</v>
      </c>
      <c r="F36" s="59">
        <v>0</v>
      </c>
      <c r="G36" s="59">
        <v>0</v>
      </c>
      <c r="H36" s="59">
        <v>0</v>
      </c>
      <c r="I36" s="58">
        <v>0</v>
      </c>
    </row>
    <row r="37" spans="1:9" x14ac:dyDescent="0.25">
      <c r="A37" s="52" t="s">
        <v>153</v>
      </c>
      <c r="B37" s="48"/>
      <c r="C37" s="49">
        <v>-6.8109999999999999</v>
      </c>
      <c r="D37" s="49">
        <v>-1.36</v>
      </c>
      <c r="E37" s="49">
        <v>-0.124</v>
      </c>
      <c r="F37" s="59">
        <v>0</v>
      </c>
      <c r="G37" s="59">
        <v>0</v>
      </c>
      <c r="H37" s="59">
        <v>0</v>
      </c>
      <c r="I37" s="58">
        <v>0.14699999999999999</v>
      </c>
    </row>
    <row r="38" spans="1:9" x14ac:dyDescent="0.25">
      <c r="A38" s="52" t="s">
        <v>159</v>
      </c>
      <c r="B38" s="48"/>
      <c r="C38" s="49">
        <v>-6.8109999999999999</v>
      </c>
      <c r="D38" s="49">
        <v>-1.36</v>
      </c>
      <c r="E38" s="49">
        <v>-0.124</v>
      </c>
      <c r="F38" s="59">
        <v>0</v>
      </c>
      <c r="G38" s="59">
        <v>0</v>
      </c>
      <c r="H38" s="59">
        <v>0</v>
      </c>
      <c r="I38" s="58">
        <v>0</v>
      </c>
    </row>
    <row r="39" spans="1:9" x14ac:dyDescent="0.25">
      <c r="A39" s="52" t="s">
        <v>154</v>
      </c>
      <c r="B39" s="48"/>
      <c r="C39" s="49">
        <v>-5.2759999999999998</v>
      </c>
      <c r="D39" s="49">
        <v>-0.92900000000000005</v>
      </c>
      <c r="E39" s="49">
        <v>-8.7999999999999995E-2</v>
      </c>
      <c r="F39" s="59">
        <v>11.39</v>
      </c>
      <c r="G39" s="59">
        <v>0</v>
      </c>
      <c r="H39" s="59">
        <v>0</v>
      </c>
      <c r="I39" s="58">
        <v>0.115</v>
      </c>
    </row>
    <row r="40" spans="1:9" x14ac:dyDescent="0.25">
      <c r="A40" s="52" t="s">
        <v>160</v>
      </c>
      <c r="B40" s="48"/>
      <c r="C40" s="49">
        <v>-5.2759999999999998</v>
      </c>
      <c r="D40" s="49">
        <v>-0.92900000000000005</v>
      </c>
      <c r="E40" s="49">
        <v>-8.7999999999999995E-2</v>
      </c>
      <c r="F40" s="59">
        <v>11.39</v>
      </c>
      <c r="G40" s="59">
        <v>0</v>
      </c>
      <c r="H40" s="59">
        <v>0</v>
      </c>
      <c r="I40" s="58">
        <v>0</v>
      </c>
    </row>
  </sheetData>
  <conditionalFormatting sqref="C9:I40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Footer>&amp;L&amp;Z&amp;F&amp;A&amp;R&amp;D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Table1</vt:lpstr>
      <vt:lpstr>Table2</vt:lpstr>
      <vt:lpstr>Table3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Barker, Chris</cp:lastModifiedBy>
  <cp:lastPrinted>2019-03-28T14:44:43Z</cp:lastPrinted>
  <dcterms:created xsi:type="dcterms:W3CDTF">2016-04-08T13:02:22Z</dcterms:created>
  <dcterms:modified xsi:type="dcterms:W3CDTF">2024-08-12T15:40:01Z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