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wadcs01\revmod\P&amp;S\REG\Clause 35A\Feb 2025\"/>
    </mc:Choice>
  </mc:AlternateContent>
  <bookViews>
    <workbookView xWindow="-96" yWindow="-96" windowWidth="20712" windowHeight="13272" activeTab="2"/>
  </bookViews>
  <sheets>
    <sheet name="Cover" sheetId="6" r:id="rId1"/>
    <sheet name="Instructions" sheetId="7" r:id="rId2"/>
    <sheet name="Table 1 - Detailed" sheetId="1" r:id="rId3"/>
    <sheet name="Table 1 - CDCM Input" sheetId="2" r:id="rId4"/>
    <sheet name="Table 1 - Delta From Previous" sheetId="3" r:id="rId5"/>
    <sheet name="Table 2 - Sensitivities" sheetId="4" r:id="rId6"/>
    <sheet name="Table 3 - Illustrative Prices" sheetId="5" r:id="rId7"/>
  </sheets>
  <externalReferences>
    <externalReference r:id="rId8"/>
    <externalReference r:id="rId9"/>
    <externalReference r:id="rId10"/>
    <externalReference r:id="rId11"/>
    <externalReference r:id="rId12"/>
    <externalReference r:id="rId13"/>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5" l="1"/>
  <c r="G39" i="5"/>
  <c r="F39" i="5"/>
  <c r="E39" i="5"/>
  <c r="D39" i="5"/>
  <c r="C39" i="5"/>
  <c r="B39" i="5"/>
  <c r="H38" i="5"/>
  <c r="G38" i="5"/>
  <c r="F38" i="5"/>
  <c r="E38" i="5"/>
  <c r="D38" i="5"/>
  <c r="C38" i="5"/>
  <c r="B38" i="5"/>
  <c r="H37" i="5"/>
  <c r="G37" i="5"/>
  <c r="F37" i="5"/>
  <c r="E37" i="5"/>
  <c r="D37" i="5"/>
  <c r="C37" i="5"/>
  <c r="B37" i="5"/>
  <c r="H36" i="5"/>
  <c r="G36" i="5"/>
  <c r="F36" i="5"/>
  <c r="E36" i="5"/>
  <c r="D36" i="5"/>
  <c r="C36" i="5"/>
  <c r="B36" i="5"/>
  <c r="H35" i="5"/>
  <c r="G35" i="5"/>
  <c r="F35" i="5"/>
  <c r="E35" i="5"/>
  <c r="D35" i="5"/>
  <c r="C35" i="5"/>
  <c r="B35" i="5"/>
  <c r="H34" i="5"/>
  <c r="G34" i="5"/>
  <c r="F34" i="5"/>
  <c r="E34" i="5"/>
  <c r="D34" i="5"/>
  <c r="C34" i="5"/>
  <c r="B34" i="5"/>
  <c r="H33" i="5"/>
  <c r="G33" i="5"/>
  <c r="F33" i="5"/>
  <c r="E33" i="5"/>
  <c r="D33" i="5"/>
  <c r="C33" i="5"/>
  <c r="B33" i="5"/>
  <c r="H32" i="5"/>
  <c r="G32" i="5"/>
  <c r="F32" i="5"/>
  <c r="E32" i="5"/>
  <c r="D32" i="5"/>
  <c r="C32" i="5"/>
  <c r="B32" i="5"/>
  <c r="H31" i="5"/>
  <c r="G31" i="5"/>
  <c r="F31" i="5"/>
  <c r="E31" i="5"/>
  <c r="D31" i="5"/>
  <c r="C31" i="5"/>
  <c r="B31" i="5"/>
  <c r="H30" i="5"/>
  <c r="G30" i="5"/>
  <c r="F30" i="5"/>
  <c r="E30" i="5"/>
  <c r="D30" i="5"/>
  <c r="C30" i="5"/>
  <c r="B30" i="5"/>
  <c r="H29" i="5"/>
  <c r="G29" i="5"/>
  <c r="F29" i="5"/>
  <c r="E29" i="5"/>
  <c r="D29" i="5"/>
  <c r="C29" i="5"/>
  <c r="B29" i="5"/>
  <c r="H28" i="5"/>
  <c r="G28" i="5"/>
  <c r="F28" i="5"/>
  <c r="E28" i="5"/>
  <c r="D28" i="5"/>
  <c r="C28" i="5"/>
  <c r="B28" i="5"/>
  <c r="H27" i="5"/>
  <c r="G27" i="5"/>
  <c r="F27" i="5"/>
  <c r="E27" i="5"/>
  <c r="D27" i="5"/>
  <c r="C27" i="5"/>
  <c r="B27" i="5"/>
  <c r="H26" i="5"/>
  <c r="G26" i="5"/>
  <c r="F26" i="5"/>
  <c r="E26" i="5"/>
  <c r="D26" i="5"/>
  <c r="C26" i="5"/>
  <c r="B26" i="5"/>
  <c r="H25" i="5"/>
  <c r="G25" i="5"/>
  <c r="F25" i="5"/>
  <c r="E25" i="5"/>
  <c r="D25" i="5"/>
  <c r="C25" i="5"/>
  <c r="B25" i="5"/>
  <c r="H24" i="5"/>
  <c r="G24" i="5"/>
  <c r="F24" i="5"/>
  <c r="E24" i="5"/>
  <c r="D24" i="5"/>
  <c r="C24" i="5"/>
  <c r="B24" i="5"/>
  <c r="H23" i="5"/>
  <c r="G23" i="5"/>
  <c r="F23" i="5"/>
  <c r="E23" i="5"/>
  <c r="D23" i="5"/>
  <c r="C23" i="5"/>
  <c r="B23" i="5"/>
  <c r="H22" i="5"/>
  <c r="G22" i="5"/>
  <c r="F22" i="5"/>
  <c r="E22" i="5"/>
  <c r="D22" i="5"/>
  <c r="C22" i="5"/>
  <c r="B22" i="5"/>
  <c r="H21" i="5"/>
  <c r="G21" i="5"/>
  <c r="F21" i="5"/>
  <c r="E21" i="5"/>
  <c r="D21" i="5"/>
  <c r="C21" i="5"/>
  <c r="B21" i="5"/>
  <c r="H20" i="5"/>
  <c r="G20" i="5"/>
  <c r="F20" i="5"/>
  <c r="E20" i="5"/>
  <c r="D20" i="5"/>
  <c r="C20" i="5"/>
  <c r="B20" i="5"/>
  <c r="H19" i="5"/>
  <c r="G19" i="5"/>
  <c r="F19" i="5"/>
  <c r="E19" i="5"/>
  <c r="D19" i="5"/>
  <c r="C19" i="5"/>
  <c r="B19" i="5"/>
  <c r="H18" i="5"/>
  <c r="G18" i="5"/>
  <c r="F18" i="5"/>
  <c r="E18" i="5"/>
  <c r="D18" i="5"/>
  <c r="C18" i="5"/>
  <c r="B18" i="5"/>
  <c r="H17" i="5"/>
  <c r="G17" i="5"/>
  <c r="F17" i="5"/>
  <c r="E17" i="5"/>
  <c r="D17" i="5"/>
  <c r="C17" i="5"/>
  <c r="B17" i="5"/>
  <c r="A17" i="5"/>
  <c r="H16" i="5"/>
  <c r="G16" i="5"/>
  <c r="F16" i="5"/>
  <c r="E16" i="5"/>
  <c r="D16" i="5"/>
  <c r="C16" i="5"/>
  <c r="B16" i="5"/>
  <c r="A16" i="5"/>
  <c r="H15" i="5"/>
  <c r="G15" i="5"/>
  <c r="F15" i="5"/>
  <c r="E15" i="5"/>
  <c r="D15" i="5"/>
  <c r="C15" i="5"/>
  <c r="B15" i="5"/>
  <c r="A15" i="5"/>
  <c r="H14" i="5"/>
  <c r="G14" i="5"/>
  <c r="F14" i="5"/>
  <c r="E14" i="5"/>
  <c r="D14" i="5"/>
  <c r="C14" i="5"/>
  <c r="B14" i="5"/>
  <c r="A14" i="5"/>
  <c r="H13" i="5"/>
  <c r="G13" i="5"/>
  <c r="F13" i="5"/>
  <c r="E13" i="5"/>
  <c r="D13" i="5"/>
  <c r="C13" i="5"/>
  <c r="B13" i="5"/>
  <c r="A13" i="5"/>
  <c r="H12" i="5"/>
  <c r="G12" i="5"/>
  <c r="F12" i="5"/>
  <c r="E12" i="5"/>
  <c r="D12" i="5"/>
  <c r="C12" i="5"/>
  <c r="B12" i="5"/>
  <c r="A12" i="5"/>
  <c r="H11" i="5"/>
  <c r="G11" i="5"/>
  <c r="F11" i="5"/>
  <c r="E11" i="5"/>
  <c r="D11" i="5"/>
  <c r="C11" i="5"/>
  <c r="B11" i="5"/>
  <c r="A11" i="5"/>
  <c r="H10" i="5"/>
  <c r="G10" i="5"/>
  <c r="F10" i="5"/>
  <c r="E10" i="5"/>
  <c r="D10" i="5"/>
  <c r="C10" i="5"/>
  <c r="B10" i="5"/>
  <c r="A10" i="5"/>
  <c r="H9" i="5"/>
  <c r="G9" i="5"/>
  <c r="F9" i="5"/>
  <c r="E9" i="5"/>
  <c r="D9" i="5"/>
  <c r="C9" i="5"/>
  <c r="B9" i="5"/>
  <c r="A9" i="5"/>
  <c r="H8" i="5"/>
  <c r="G8" i="5"/>
  <c r="F8" i="5"/>
  <c r="E8" i="5"/>
  <c r="D8" i="5"/>
  <c r="C8" i="5"/>
  <c r="B8" i="5"/>
  <c r="A8" i="5"/>
  <c r="I105" i="3" l="1"/>
  <c r="H105" i="3"/>
  <c r="G105" i="3"/>
  <c r="F105" i="3"/>
  <c r="E105" i="3"/>
  <c r="D105" i="3"/>
  <c r="H103" i="3"/>
  <c r="H104" i="3" s="1"/>
  <c r="G103" i="3"/>
  <c r="G104" i="3" s="1"/>
  <c r="F103" i="3"/>
  <c r="E103" i="3"/>
  <c r="D103" i="3"/>
  <c r="I102" i="3"/>
  <c r="H102" i="3"/>
  <c r="G102" i="3"/>
  <c r="F102" i="3"/>
  <c r="F104" i="3" s="1"/>
  <c r="E102" i="3"/>
  <c r="E104" i="3" s="1"/>
  <c r="D102" i="3"/>
  <c r="I99" i="3"/>
  <c r="H99" i="3"/>
  <c r="G99" i="3"/>
  <c r="F99" i="3"/>
  <c r="E99" i="3"/>
  <c r="D99" i="3"/>
  <c r="I96" i="3"/>
  <c r="H96" i="3"/>
  <c r="G96" i="3"/>
  <c r="F96" i="3"/>
  <c r="E96" i="3"/>
  <c r="D96" i="3"/>
  <c r="I95" i="3"/>
  <c r="H95" i="3"/>
  <c r="G95" i="3"/>
  <c r="F95" i="3"/>
  <c r="E95" i="3"/>
  <c r="D95" i="3"/>
  <c r="I91" i="3"/>
  <c r="H91" i="3"/>
  <c r="G91" i="3"/>
  <c r="F91" i="3"/>
  <c r="E91" i="3"/>
  <c r="D91" i="3"/>
  <c r="I90" i="3"/>
  <c r="H90" i="3"/>
  <c r="G90" i="3"/>
  <c r="F90" i="3"/>
  <c r="E90" i="3"/>
  <c r="D90" i="3"/>
  <c r="I88" i="3"/>
  <c r="H88" i="3"/>
  <c r="G88" i="3"/>
  <c r="F88" i="3"/>
  <c r="E88" i="3"/>
  <c r="D88" i="3"/>
  <c r="I87" i="3"/>
  <c r="H87" i="3"/>
  <c r="G87" i="3"/>
  <c r="F87" i="3"/>
  <c r="E87" i="3"/>
  <c r="D87" i="3"/>
  <c r="I85" i="3"/>
  <c r="H85" i="3"/>
  <c r="G85" i="3"/>
  <c r="F85" i="3"/>
  <c r="E85" i="3"/>
  <c r="D85" i="3"/>
  <c r="I84" i="3"/>
  <c r="H84" i="3"/>
  <c r="G84" i="3"/>
  <c r="F84" i="3"/>
  <c r="E84" i="3"/>
  <c r="D84" i="3"/>
  <c r="I82" i="3"/>
  <c r="H82" i="3"/>
  <c r="G82" i="3"/>
  <c r="F82" i="3"/>
  <c r="E82" i="3"/>
  <c r="D82" i="3"/>
  <c r="I81" i="3"/>
  <c r="H81" i="3"/>
  <c r="G81" i="3"/>
  <c r="F81" i="3"/>
  <c r="E81" i="3"/>
  <c r="D81" i="3"/>
  <c r="I80" i="3"/>
  <c r="H80" i="3"/>
  <c r="G80" i="3"/>
  <c r="F80" i="3"/>
  <c r="E80" i="3"/>
  <c r="D80" i="3"/>
  <c r="I79" i="3"/>
  <c r="H79" i="3"/>
  <c r="G79" i="3"/>
  <c r="F79" i="3"/>
  <c r="E79" i="3"/>
  <c r="D79" i="3"/>
  <c r="I78" i="3"/>
  <c r="I83" i="3" s="1"/>
  <c r="H78" i="3"/>
  <c r="G78" i="3"/>
  <c r="F78" i="3"/>
  <c r="E78" i="3"/>
  <c r="D78" i="3"/>
  <c r="I77" i="3"/>
  <c r="H77" i="3"/>
  <c r="H83" i="3" s="1"/>
  <c r="G77" i="3"/>
  <c r="G83" i="3" s="1"/>
  <c r="F77" i="3"/>
  <c r="E77" i="3"/>
  <c r="D77" i="3"/>
  <c r="I76" i="3"/>
  <c r="H76" i="3"/>
  <c r="G76" i="3"/>
  <c r="F76" i="3"/>
  <c r="E76" i="3"/>
  <c r="D76" i="3"/>
  <c r="I75" i="3"/>
  <c r="H75" i="3"/>
  <c r="G75" i="3"/>
  <c r="F75" i="3"/>
  <c r="E75" i="3"/>
  <c r="D75" i="3"/>
  <c r="D83" i="3" s="1"/>
  <c r="I74" i="3"/>
  <c r="H74" i="3"/>
  <c r="G74" i="3"/>
  <c r="F74" i="3"/>
  <c r="E74" i="3"/>
  <c r="D74" i="3"/>
  <c r="I73" i="3"/>
  <c r="H73" i="3"/>
  <c r="G73" i="3"/>
  <c r="F73" i="3"/>
  <c r="E73" i="3"/>
  <c r="D73" i="3"/>
  <c r="I69" i="3"/>
  <c r="H69" i="3"/>
  <c r="G69" i="3"/>
  <c r="F69" i="3"/>
  <c r="E69" i="3"/>
  <c r="D69" i="3"/>
  <c r="I68" i="3"/>
  <c r="H68" i="3"/>
  <c r="G68" i="3"/>
  <c r="F68" i="3"/>
  <c r="E68" i="3"/>
  <c r="D68" i="3"/>
  <c r="I67" i="3"/>
  <c r="H67" i="3"/>
  <c r="G67" i="3"/>
  <c r="F67" i="3"/>
  <c r="E67" i="3"/>
  <c r="D67" i="3"/>
  <c r="I66" i="3"/>
  <c r="H66" i="3"/>
  <c r="G66" i="3"/>
  <c r="F66" i="3"/>
  <c r="E66" i="3"/>
  <c r="D66" i="3"/>
  <c r="I65" i="3"/>
  <c r="H65" i="3"/>
  <c r="G65" i="3"/>
  <c r="F65" i="3"/>
  <c r="E65" i="3"/>
  <c r="D65" i="3"/>
  <c r="I64" i="3"/>
  <c r="H64" i="3"/>
  <c r="G64" i="3"/>
  <c r="F64" i="3"/>
  <c r="E64" i="3"/>
  <c r="D64" i="3"/>
  <c r="I63" i="3"/>
  <c r="H63" i="3"/>
  <c r="G63" i="3"/>
  <c r="F63" i="3"/>
  <c r="E63" i="3"/>
  <c r="D63" i="3"/>
  <c r="I62" i="3"/>
  <c r="H62" i="3"/>
  <c r="G62" i="3"/>
  <c r="F62" i="3"/>
  <c r="E62" i="3"/>
  <c r="D62" i="3"/>
  <c r="I61" i="3"/>
  <c r="H61" i="3"/>
  <c r="G61" i="3"/>
  <c r="F61" i="3"/>
  <c r="F70" i="3" s="1"/>
  <c r="E61" i="3"/>
  <c r="E70" i="3" s="1"/>
  <c r="D61" i="3"/>
  <c r="I60" i="3"/>
  <c r="H60" i="3"/>
  <c r="G60" i="3"/>
  <c r="F60" i="3"/>
  <c r="E60" i="3"/>
  <c r="D60" i="3"/>
  <c r="D70" i="3" s="1"/>
  <c r="I59" i="3"/>
  <c r="I70" i="3" s="1"/>
  <c r="H59" i="3"/>
  <c r="G59" i="3"/>
  <c r="F59" i="3"/>
  <c r="E59" i="3"/>
  <c r="D59" i="3"/>
  <c r="I58" i="3"/>
  <c r="H58" i="3"/>
  <c r="H70" i="3" s="1"/>
  <c r="G58" i="3"/>
  <c r="G70" i="3" s="1"/>
  <c r="F58" i="3"/>
  <c r="E58" i="3"/>
  <c r="D58" i="3"/>
  <c r="I54" i="3"/>
  <c r="H54" i="3"/>
  <c r="G54" i="3"/>
  <c r="F54" i="3"/>
  <c r="E54" i="3"/>
  <c r="D54" i="3"/>
  <c r="I53" i="3"/>
  <c r="H53" i="3"/>
  <c r="G53" i="3"/>
  <c r="F53" i="3"/>
  <c r="E53" i="3"/>
  <c r="D53" i="3"/>
  <c r="I51" i="3"/>
  <c r="I52" i="3" s="1"/>
  <c r="I55" i="3" s="1"/>
  <c r="I56" i="3" s="1"/>
  <c r="I57" i="3" s="1"/>
  <c r="H51" i="3"/>
  <c r="G51" i="3"/>
  <c r="F51" i="3"/>
  <c r="E51" i="3"/>
  <c r="D51" i="3"/>
  <c r="I49" i="3"/>
  <c r="H49" i="3"/>
  <c r="G49" i="3"/>
  <c r="G50" i="3" s="1"/>
  <c r="F49" i="3"/>
  <c r="E49" i="3"/>
  <c r="D49" i="3"/>
  <c r="I48" i="3"/>
  <c r="H48" i="3"/>
  <c r="G48" i="3"/>
  <c r="F48" i="3"/>
  <c r="F50" i="3" s="1"/>
  <c r="E48" i="3"/>
  <c r="E50" i="3" s="1"/>
  <c r="D48" i="3"/>
  <c r="I47" i="3"/>
  <c r="H47" i="3"/>
  <c r="G47" i="3"/>
  <c r="F47" i="3"/>
  <c r="E47" i="3"/>
  <c r="D47" i="3"/>
  <c r="D50" i="3" s="1"/>
  <c r="I40" i="3"/>
  <c r="H40" i="3"/>
  <c r="G40" i="3"/>
  <c r="F40" i="3"/>
  <c r="E40" i="3"/>
  <c r="D40" i="3"/>
  <c r="I39" i="3"/>
  <c r="H39" i="3"/>
  <c r="G39" i="3"/>
  <c r="F39" i="3"/>
  <c r="E39" i="3"/>
  <c r="D39" i="3"/>
  <c r="I38" i="3"/>
  <c r="H38" i="3"/>
  <c r="G38" i="3"/>
  <c r="F38" i="3"/>
  <c r="E38" i="3"/>
  <c r="D38" i="3"/>
  <c r="I37" i="3"/>
  <c r="I41" i="3" s="1"/>
  <c r="H37" i="3"/>
  <c r="G37" i="3"/>
  <c r="F37" i="3"/>
  <c r="E37" i="3"/>
  <c r="D37" i="3"/>
  <c r="I36" i="3"/>
  <c r="H36" i="3"/>
  <c r="G36" i="3"/>
  <c r="G41" i="3" s="1"/>
  <c r="F36" i="3"/>
  <c r="E36" i="3"/>
  <c r="D36" i="3"/>
  <c r="I35" i="3"/>
  <c r="H35" i="3"/>
  <c r="G35" i="3"/>
  <c r="F35" i="3"/>
  <c r="F41" i="3" s="1"/>
  <c r="E35" i="3"/>
  <c r="E41" i="3" s="1"/>
  <c r="D35" i="3"/>
  <c r="I34" i="3"/>
  <c r="H34" i="3"/>
  <c r="G34" i="3"/>
  <c r="F34" i="3"/>
  <c r="E34" i="3"/>
  <c r="D34" i="3"/>
  <c r="D41" i="3" s="1"/>
  <c r="I32" i="3"/>
  <c r="H32" i="3"/>
  <c r="G32" i="3"/>
  <c r="F32" i="3"/>
  <c r="E32" i="3"/>
  <c r="D32" i="3"/>
  <c r="I31" i="3"/>
  <c r="H31" i="3"/>
  <c r="G31" i="3"/>
  <c r="F31" i="3"/>
  <c r="E31" i="3"/>
  <c r="D31" i="3"/>
  <c r="I30" i="3"/>
  <c r="H30" i="3"/>
  <c r="G30" i="3"/>
  <c r="F30" i="3"/>
  <c r="E30" i="3"/>
  <c r="D30" i="3"/>
  <c r="I29" i="3"/>
  <c r="H29" i="3"/>
  <c r="G29" i="3"/>
  <c r="F29" i="3"/>
  <c r="E29" i="3"/>
  <c r="D29" i="3"/>
  <c r="I28" i="3"/>
  <c r="I33" i="3" s="1"/>
  <c r="H28" i="3"/>
  <c r="G28" i="3"/>
  <c r="F28" i="3"/>
  <c r="E28" i="3"/>
  <c r="D28" i="3"/>
  <c r="I27" i="3"/>
  <c r="H27" i="3"/>
  <c r="H33" i="3" s="1"/>
  <c r="G27" i="3"/>
  <c r="G33" i="3" s="1"/>
  <c r="F27" i="3"/>
  <c r="E27" i="3"/>
  <c r="D27" i="3"/>
  <c r="I26" i="3"/>
  <c r="H26" i="3"/>
  <c r="G26" i="3"/>
  <c r="F26" i="3"/>
  <c r="F33" i="3" s="1"/>
  <c r="E26" i="3"/>
  <c r="E33" i="3" s="1"/>
  <c r="D26" i="3"/>
  <c r="I20" i="3"/>
  <c r="H20" i="3"/>
  <c r="G20" i="3"/>
  <c r="F20" i="3"/>
  <c r="E20" i="3"/>
  <c r="D20" i="3"/>
  <c r="I19" i="3"/>
  <c r="H19" i="3"/>
  <c r="G19" i="3"/>
  <c r="F19" i="3"/>
  <c r="E19" i="3"/>
  <c r="D19" i="3"/>
  <c r="I18" i="3"/>
  <c r="H18" i="3"/>
  <c r="G18" i="3"/>
  <c r="F18" i="3"/>
  <c r="E18" i="3"/>
  <c r="D18" i="3"/>
  <c r="I17" i="3"/>
  <c r="H17" i="3"/>
  <c r="H21" i="3" s="1"/>
  <c r="G17" i="3"/>
  <c r="F17" i="3"/>
  <c r="E17" i="3"/>
  <c r="D17" i="3"/>
  <c r="I16" i="3"/>
  <c r="H16" i="3"/>
  <c r="G16" i="3"/>
  <c r="F16" i="3"/>
  <c r="E16" i="3"/>
  <c r="E21" i="3" s="1"/>
  <c r="D16" i="3"/>
  <c r="I15" i="3"/>
  <c r="H15" i="3"/>
  <c r="G15" i="3"/>
  <c r="F15" i="3"/>
  <c r="E15" i="3"/>
  <c r="D15" i="3"/>
  <c r="D21" i="3" s="1"/>
  <c r="I14" i="3"/>
  <c r="I21" i="3" s="1"/>
  <c r="H14" i="3"/>
  <c r="G14" i="3"/>
  <c r="F14" i="3"/>
  <c r="E14" i="3"/>
  <c r="D14" i="3"/>
  <c r="I12" i="3"/>
  <c r="H12" i="3"/>
  <c r="G12" i="3"/>
  <c r="F12" i="3"/>
  <c r="E12" i="3"/>
  <c r="D12" i="3"/>
  <c r="I11" i="3"/>
  <c r="H11" i="3"/>
  <c r="G11" i="3"/>
  <c r="F11" i="3"/>
  <c r="E11" i="3"/>
  <c r="D11" i="3"/>
  <c r="I10" i="3"/>
  <c r="H10" i="3"/>
  <c r="G10" i="3"/>
  <c r="F10" i="3"/>
  <c r="E10" i="3"/>
  <c r="D10" i="3"/>
  <c r="I9" i="3"/>
  <c r="I13" i="3" s="1"/>
  <c r="H9" i="3"/>
  <c r="G9" i="3"/>
  <c r="F9" i="3"/>
  <c r="E9" i="3"/>
  <c r="D9" i="3"/>
  <c r="I8" i="3"/>
  <c r="H8" i="3"/>
  <c r="G8" i="3"/>
  <c r="G13" i="3" s="1"/>
  <c r="F8" i="3"/>
  <c r="E8" i="3"/>
  <c r="D8" i="3"/>
  <c r="I7" i="3"/>
  <c r="H7" i="3"/>
  <c r="G7" i="3"/>
  <c r="F7" i="3"/>
  <c r="F13" i="3" s="1"/>
  <c r="E7" i="3"/>
  <c r="E13" i="3" s="1"/>
  <c r="D7" i="3"/>
  <c r="I6" i="3"/>
  <c r="H6" i="3"/>
  <c r="G6" i="3"/>
  <c r="F6" i="3"/>
  <c r="E6" i="3"/>
  <c r="D6" i="3"/>
  <c r="D13" i="3" s="1"/>
  <c r="H94" i="3"/>
  <c r="D104" i="3"/>
  <c r="I94" i="3"/>
  <c r="G94" i="3"/>
  <c r="F94" i="3"/>
  <c r="E94" i="3"/>
  <c r="D94" i="3"/>
  <c r="I103" i="3"/>
  <c r="I104" i="3" s="1"/>
  <c r="F83" i="3"/>
  <c r="E83" i="3"/>
  <c r="H56" i="3"/>
  <c r="H57" i="3" s="1"/>
  <c r="H52" i="3"/>
  <c r="H55" i="3" s="1"/>
  <c r="F52" i="3"/>
  <c r="F55" i="3" s="1"/>
  <c r="G52" i="3"/>
  <c r="G55" i="3" s="1"/>
  <c r="G56" i="3" s="1"/>
  <c r="G57" i="3" s="1"/>
  <c r="E52" i="3"/>
  <c r="E55" i="3" s="1"/>
  <c r="D52" i="3"/>
  <c r="H50" i="3"/>
  <c r="I50" i="3"/>
  <c r="H41" i="3"/>
  <c r="D33" i="3"/>
  <c r="F21" i="3"/>
  <c r="G21" i="3"/>
  <c r="H13" i="3"/>
  <c r="D6" i="1"/>
  <c r="E6" i="1"/>
  <c r="F6" i="1"/>
  <c r="G6" i="1"/>
  <c r="H6" i="1"/>
  <c r="D7" i="1"/>
  <c r="E7" i="1"/>
  <c r="F7" i="1"/>
  <c r="G7" i="1"/>
  <c r="H7" i="1"/>
  <c r="D8" i="1"/>
  <c r="E8" i="1"/>
  <c r="F8" i="1"/>
  <c r="G8" i="1"/>
  <c r="H8" i="1"/>
  <c r="I8" i="1"/>
  <c r="D9" i="1"/>
  <c r="E9" i="1"/>
  <c r="F9" i="1"/>
  <c r="G9" i="1"/>
  <c r="H9" i="1"/>
  <c r="D10" i="1"/>
  <c r="E10" i="1"/>
  <c r="F10" i="1"/>
  <c r="G10" i="1"/>
  <c r="H10" i="1"/>
  <c r="D11" i="1"/>
  <c r="E11" i="1"/>
  <c r="F11" i="1"/>
  <c r="G11" i="1"/>
  <c r="H11" i="1"/>
  <c r="D12" i="1"/>
  <c r="E12" i="1"/>
  <c r="F12" i="1"/>
  <c r="G12" i="1"/>
  <c r="H12" i="1"/>
  <c r="D14" i="1"/>
  <c r="E14" i="1"/>
  <c r="F14" i="1"/>
  <c r="G14" i="1"/>
  <c r="H14" i="1"/>
  <c r="D15" i="1"/>
  <c r="E15" i="1"/>
  <c r="F15" i="1"/>
  <c r="G15" i="1"/>
  <c r="H15" i="1"/>
  <c r="D16" i="1"/>
  <c r="E16" i="1"/>
  <c r="F16" i="1"/>
  <c r="G16" i="1"/>
  <c r="H16" i="1"/>
  <c r="D17" i="1"/>
  <c r="E17" i="1"/>
  <c r="F17" i="1"/>
  <c r="G17" i="1"/>
  <c r="H17" i="1"/>
  <c r="D18" i="1"/>
  <c r="E18" i="1"/>
  <c r="F18" i="1"/>
  <c r="G18" i="1"/>
  <c r="H18" i="1"/>
  <c r="D19" i="1"/>
  <c r="E19" i="1"/>
  <c r="F19" i="1"/>
  <c r="G19" i="1"/>
  <c r="H19" i="1"/>
  <c r="D20" i="1"/>
  <c r="E20" i="1"/>
  <c r="F20" i="1"/>
  <c r="G20" i="1"/>
  <c r="H20" i="1"/>
  <c r="D22" i="1"/>
  <c r="D22" i="3" s="1"/>
  <c r="D42" i="3" s="1"/>
  <c r="E22" i="1"/>
  <c r="E22" i="3" s="1"/>
  <c r="E42" i="3" s="1"/>
  <c r="F22" i="1"/>
  <c r="F22" i="3" s="1"/>
  <c r="F42" i="3" s="1"/>
  <c r="G22" i="1"/>
  <c r="G22" i="3" s="1"/>
  <c r="G42" i="3" s="1"/>
  <c r="H22" i="1"/>
  <c r="I22" i="1" s="1"/>
  <c r="I42" i="1" s="1"/>
  <c r="D24" i="1"/>
  <c r="D24" i="3" s="1"/>
  <c r="E24" i="1"/>
  <c r="E24" i="3" s="1"/>
  <c r="F24" i="1"/>
  <c r="F24" i="3" s="1"/>
  <c r="G24" i="1"/>
  <c r="G24" i="3" s="1"/>
  <c r="H24" i="1"/>
  <c r="I24" i="1" s="1"/>
  <c r="D26" i="1"/>
  <c r="E26" i="1"/>
  <c r="F26" i="1"/>
  <c r="G26" i="1"/>
  <c r="H26" i="1"/>
  <c r="D27" i="1"/>
  <c r="E27" i="1"/>
  <c r="F27" i="1"/>
  <c r="G27" i="1"/>
  <c r="H27" i="1"/>
  <c r="D28" i="1"/>
  <c r="E28" i="1"/>
  <c r="F28" i="1"/>
  <c r="G28" i="1"/>
  <c r="H28" i="1"/>
  <c r="D29" i="1"/>
  <c r="E29" i="1"/>
  <c r="F29" i="1"/>
  <c r="G29" i="1"/>
  <c r="H29" i="1"/>
  <c r="D30" i="1"/>
  <c r="E30" i="1"/>
  <c r="F30" i="1"/>
  <c r="G30" i="1"/>
  <c r="H30" i="1"/>
  <c r="D31" i="1"/>
  <c r="E31" i="1"/>
  <c r="F31" i="1"/>
  <c r="G31" i="1"/>
  <c r="H31" i="1"/>
  <c r="D32" i="1"/>
  <c r="E32" i="1"/>
  <c r="F32" i="1"/>
  <c r="G32" i="1"/>
  <c r="H32" i="1"/>
  <c r="D34" i="1"/>
  <c r="E34" i="1"/>
  <c r="F34" i="1"/>
  <c r="G34" i="1"/>
  <c r="H34" i="1"/>
  <c r="D35" i="1"/>
  <c r="E35" i="1"/>
  <c r="F35" i="1"/>
  <c r="G35" i="1"/>
  <c r="H35" i="1"/>
  <c r="D36" i="1"/>
  <c r="E36" i="1"/>
  <c r="F36" i="1"/>
  <c r="G36" i="1"/>
  <c r="H36" i="1"/>
  <c r="D37" i="1"/>
  <c r="E37" i="1"/>
  <c r="F37" i="1"/>
  <c r="G37" i="1"/>
  <c r="H37" i="1"/>
  <c r="D38" i="1"/>
  <c r="E38" i="1"/>
  <c r="F38" i="1"/>
  <c r="G38" i="1"/>
  <c r="H38" i="1"/>
  <c r="D39" i="1"/>
  <c r="E39" i="1"/>
  <c r="F39" i="1"/>
  <c r="G39" i="1"/>
  <c r="H39" i="1"/>
  <c r="D40" i="1"/>
  <c r="E40" i="1"/>
  <c r="F40" i="1"/>
  <c r="G40" i="1"/>
  <c r="H40" i="1"/>
  <c r="F42" i="1"/>
  <c r="G42" i="1"/>
  <c r="D44" i="1"/>
  <c r="D44" i="3" s="1"/>
  <c r="E44" i="1"/>
  <c r="E44" i="3" s="1"/>
  <c r="F44" i="1"/>
  <c r="F44" i="3" s="1"/>
  <c r="G44" i="1"/>
  <c r="G44" i="3" s="1"/>
  <c r="H44" i="1"/>
  <c r="I44" i="1" s="1"/>
  <c r="I44" i="3" s="1"/>
  <c r="D47" i="1"/>
  <c r="E47" i="1"/>
  <c r="F47" i="1"/>
  <c r="G47" i="1"/>
  <c r="H47" i="1"/>
  <c r="D48" i="1"/>
  <c r="E48" i="1"/>
  <c r="F48" i="1"/>
  <c r="G48" i="1"/>
  <c r="H48" i="1"/>
  <c r="D49" i="1"/>
  <c r="E49" i="1"/>
  <c r="F49" i="1"/>
  <c r="G49" i="1"/>
  <c r="H49" i="1"/>
  <c r="D51" i="1"/>
  <c r="E51" i="1"/>
  <c r="F51" i="1"/>
  <c r="G51" i="1"/>
  <c r="H51" i="1"/>
  <c r="D53" i="1"/>
  <c r="E53" i="1"/>
  <c r="F53" i="1"/>
  <c r="G53" i="1"/>
  <c r="H53" i="1"/>
  <c r="D54" i="1"/>
  <c r="E54" i="1"/>
  <c r="F54" i="1"/>
  <c r="G54" i="1"/>
  <c r="H54" i="1"/>
  <c r="D58" i="1"/>
  <c r="E58" i="1"/>
  <c r="F58" i="1"/>
  <c r="G58" i="1"/>
  <c r="H58" i="1"/>
  <c r="D59" i="1"/>
  <c r="E59" i="1"/>
  <c r="F59" i="1"/>
  <c r="G59" i="1"/>
  <c r="H59" i="1"/>
  <c r="D60" i="1"/>
  <c r="E60" i="1"/>
  <c r="F60" i="1"/>
  <c r="G60" i="1"/>
  <c r="H60" i="1"/>
  <c r="D61" i="1"/>
  <c r="E61" i="1"/>
  <c r="F61" i="1"/>
  <c r="G61" i="1"/>
  <c r="H61" i="1"/>
  <c r="D62" i="1"/>
  <c r="E62" i="1"/>
  <c r="F62" i="1"/>
  <c r="G62" i="1"/>
  <c r="H62" i="1"/>
  <c r="D63" i="1"/>
  <c r="E63" i="1"/>
  <c r="F63" i="1"/>
  <c r="G63" i="1"/>
  <c r="H63" i="1"/>
  <c r="D64" i="1"/>
  <c r="E64" i="1"/>
  <c r="F64" i="1"/>
  <c r="G64" i="1"/>
  <c r="H64" i="1"/>
  <c r="D65" i="1"/>
  <c r="E65" i="1"/>
  <c r="F65" i="1"/>
  <c r="G65" i="1"/>
  <c r="H65" i="1"/>
  <c r="D66" i="1"/>
  <c r="E66" i="1"/>
  <c r="F66" i="1"/>
  <c r="G66" i="1"/>
  <c r="H66" i="1"/>
  <c r="D67" i="1"/>
  <c r="E67" i="1"/>
  <c r="F67" i="1"/>
  <c r="G67" i="1"/>
  <c r="H67" i="1"/>
  <c r="D68" i="1"/>
  <c r="E68" i="1"/>
  <c r="F68" i="1"/>
  <c r="G68" i="1"/>
  <c r="H68" i="1"/>
  <c r="D69" i="1"/>
  <c r="E69" i="1"/>
  <c r="F69" i="1"/>
  <c r="G69" i="1"/>
  <c r="H69" i="1"/>
  <c r="D73" i="1"/>
  <c r="E73" i="1"/>
  <c r="F73" i="1"/>
  <c r="G73" i="1"/>
  <c r="H73" i="1"/>
  <c r="D74" i="1"/>
  <c r="E74" i="1"/>
  <c r="F74" i="1"/>
  <c r="G74" i="1"/>
  <c r="H74" i="1"/>
  <c r="D75" i="1"/>
  <c r="E75" i="1"/>
  <c r="F75" i="1"/>
  <c r="G75" i="1"/>
  <c r="H75" i="1"/>
  <c r="D76" i="1"/>
  <c r="E76" i="1"/>
  <c r="F76" i="1"/>
  <c r="G76" i="1"/>
  <c r="H76" i="1"/>
  <c r="D77" i="1"/>
  <c r="E77" i="1"/>
  <c r="F77" i="1"/>
  <c r="G77" i="1"/>
  <c r="H77" i="1"/>
  <c r="D78" i="1"/>
  <c r="E78" i="1"/>
  <c r="F78" i="1"/>
  <c r="G78" i="1"/>
  <c r="H78" i="1"/>
  <c r="D79" i="1"/>
  <c r="E79" i="1"/>
  <c r="F79" i="1"/>
  <c r="G79" i="1"/>
  <c r="H79" i="1"/>
  <c r="D80" i="1"/>
  <c r="E80" i="1"/>
  <c r="F80" i="1"/>
  <c r="G80" i="1"/>
  <c r="H80" i="1"/>
  <c r="D81" i="1"/>
  <c r="E81" i="1"/>
  <c r="F81" i="1"/>
  <c r="G81" i="1"/>
  <c r="H81" i="1"/>
  <c r="D82" i="1"/>
  <c r="E82" i="1"/>
  <c r="F82" i="1"/>
  <c r="G82" i="1"/>
  <c r="H82" i="1"/>
  <c r="D84" i="1"/>
  <c r="E84" i="1"/>
  <c r="F84" i="1"/>
  <c r="G84" i="1"/>
  <c r="H84" i="1"/>
  <c r="D85" i="1"/>
  <c r="E85" i="1"/>
  <c r="F85" i="1"/>
  <c r="G85" i="1"/>
  <c r="H85" i="1"/>
  <c r="D87" i="1"/>
  <c r="E87" i="1"/>
  <c r="F87" i="1"/>
  <c r="G87" i="1"/>
  <c r="H87" i="1"/>
  <c r="D88" i="1"/>
  <c r="E88" i="1"/>
  <c r="F88" i="1"/>
  <c r="G88" i="1"/>
  <c r="H88" i="1"/>
  <c r="D90" i="1"/>
  <c r="E90" i="1"/>
  <c r="F90" i="1"/>
  <c r="G90" i="1"/>
  <c r="H90" i="1"/>
  <c r="D91" i="1"/>
  <c r="E91" i="1"/>
  <c r="F91" i="1"/>
  <c r="G91" i="1"/>
  <c r="H91" i="1"/>
  <c r="D95" i="1"/>
  <c r="E95" i="1"/>
  <c r="F95" i="1"/>
  <c r="G95" i="1"/>
  <c r="H95" i="1"/>
  <c r="I95" i="1"/>
  <c r="D96" i="1"/>
  <c r="E96" i="1"/>
  <c r="F96" i="1"/>
  <c r="G96" i="1"/>
  <c r="H96" i="1"/>
  <c r="I96" i="1"/>
  <c r="D99" i="1"/>
  <c r="E99" i="1"/>
  <c r="F99" i="1"/>
  <c r="G99" i="1"/>
  <c r="H99" i="1"/>
  <c r="D102" i="1"/>
  <c r="E102" i="1"/>
  <c r="F102" i="1"/>
  <c r="G102" i="1"/>
  <c r="H102" i="1"/>
  <c r="I102" i="1"/>
  <c r="D103" i="1"/>
  <c r="E103" i="1"/>
  <c r="F103" i="1"/>
  <c r="G103" i="1"/>
  <c r="D105" i="1"/>
  <c r="D94" i="1" s="1"/>
  <c r="I18" i="1" l="1"/>
  <c r="F52" i="1"/>
  <c r="F55" i="1" s="1"/>
  <c r="H42" i="1"/>
  <c r="F104" i="1"/>
  <c r="I85" i="1"/>
  <c r="I81" i="1"/>
  <c r="I75" i="1"/>
  <c r="I60" i="1"/>
  <c r="I31" i="1"/>
  <c r="I20" i="1"/>
  <c r="I17" i="1"/>
  <c r="I90" i="1"/>
  <c r="I38" i="1"/>
  <c r="I35" i="1"/>
  <c r="I26" i="1"/>
  <c r="I33" i="1" s="1"/>
  <c r="I11" i="1"/>
  <c r="I82" i="1"/>
  <c r="I79" i="1"/>
  <c r="I83" i="1" s="1"/>
  <c r="I76" i="1"/>
  <c r="I73" i="1"/>
  <c r="I67" i="1"/>
  <c r="I64" i="1"/>
  <c r="I61" i="1"/>
  <c r="I58" i="1"/>
  <c r="I51" i="1"/>
  <c r="I52" i="1" s="1"/>
  <c r="I47" i="1"/>
  <c r="I29" i="1"/>
  <c r="I15" i="1"/>
  <c r="I87" i="1"/>
  <c r="G52" i="1"/>
  <c r="I32" i="1"/>
  <c r="I9" i="1"/>
  <c r="D104" i="1"/>
  <c r="I91" i="1"/>
  <c r="I103" i="1" s="1"/>
  <c r="I65" i="1"/>
  <c r="I53" i="1"/>
  <c r="I39" i="1"/>
  <c r="I36" i="1"/>
  <c r="I27" i="1"/>
  <c r="I12" i="1"/>
  <c r="I6" i="1"/>
  <c r="E104" i="1"/>
  <c r="I84" i="1"/>
  <c r="I80" i="1"/>
  <c r="I77" i="1"/>
  <c r="I74" i="1"/>
  <c r="I68" i="1"/>
  <c r="I62" i="1"/>
  <c r="I70" i="1" s="1"/>
  <c r="I59" i="1"/>
  <c r="E52" i="1"/>
  <c r="I48" i="1"/>
  <c r="E50" i="1"/>
  <c r="I30" i="1"/>
  <c r="I19" i="1"/>
  <c r="I16" i="1"/>
  <c r="I21" i="1" s="1"/>
  <c r="G104" i="1"/>
  <c r="I88" i="1"/>
  <c r="G83" i="1"/>
  <c r="D52" i="1"/>
  <c r="D50" i="1"/>
  <c r="I37" i="1"/>
  <c r="F41" i="1"/>
  <c r="I34" i="1"/>
  <c r="I10" i="1"/>
  <c r="I13" i="1" s="1"/>
  <c r="I7" i="1"/>
  <c r="I78" i="1"/>
  <c r="I69" i="1"/>
  <c r="I66" i="1"/>
  <c r="I63" i="1"/>
  <c r="I54" i="1"/>
  <c r="I49" i="1"/>
  <c r="I40" i="1"/>
  <c r="I28" i="1"/>
  <c r="I14" i="1"/>
  <c r="H41" i="1"/>
  <c r="D41" i="1"/>
  <c r="E13" i="1"/>
  <c r="I55" i="1"/>
  <c r="I56" i="1" s="1"/>
  <c r="I57" i="1" s="1"/>
  <c r="H52" i="1"/>
  <c r="E42" i="1"/>
  <c r="E83" i="1"/>
  <c r="G50" i="1"/>
  <c r="D42" i="1"/>
  <c r="H103" i="1"/>
  <c r="F83" i="1"/>
  <c r="D83" i="1"/>
  <c r="G33" i="1"/>
  <c r="H22" i="3"/>
  <c r="I22" i="3" s="1"/>
  <c r="I42" i="3" s="1"/>
  <c r="I43" i="3" s="1"/>
  <c r="I45" i="3" s="1"/>
  <c r="D43" i="3"/>
  <c r="D45" i="3" s="1"/>
  <c r="H21" i="1"/>
  <c r="H104" i="1"/>
  <c r="H83" i="1"/>
  <c r="H50" i="1"/>
  <c r="F50" i="1"/>
  <c r="G41" i="1"/>
  <c r="E21" i="1"/>
  <c r="H13" i="1"/>
  <c r="F21" i="1"/>
  <c r="F23" i="1" s="1"/>
  <c r="F25" i="1" s="1"/>
  <c r="D21" i="1"/>
  <c r="D23" i="1" s="1"/>
  <c r="D25" i="1" s="1"/>
  <c r="G70" i="1"/>
  <c r="E70" i="1"/>
  <c r="G21" i="1"/>
  <c r="F70" i="1"/>
  <c r="D70" i="1"/>
  <c r="H33" i="1"/>
  <c r="E33" i="1"/>
  <c r="G13" i="1"/>
  <c r="H24" i="3"/>
  <c r="I24" i="3" s="1"/>
  <c r="H70" i="1"/>
  <c r="E41" i="1"/>
  <c r="F33" i="1"/>
  <c r="D33" i="1"/>
  <c r="F13" i="1"/>
  <c r="D13" i="1"/>
  <c r="H44" i="3"/>
  <c r="F23" i="3"/>
  <c r="F25" i="3" s="1"/>
  <c r="D55" i="3"/>
  <c r="D56" i="3" s="1"/>
  <c r="D57" i="3" s="1"/>
  <c r="F56" i="3"/>
  <c r="F57" i="3" s="1"/>
  <c r="D23" i="3"/>
  <c r="D25" i="3" s="1"/>
  <c r="G43" i="3"/>
  <c r="G45" i="3" s="1"/>
  <c r="E23" i="3"/>
  <c r="E25" i="3" s="1"/>
  <c r="G23" i="3"/>
  <c r="G25" i="3" s="1"/>
  <c r="E43" i="3"/>
  <c r="E45" i="3" s="1"/>
  <c r="E56" i="3"/>
  <c r="E57" i="3" s="1"/>
  <c r="I23" i="3"/>
  <c r="I25" i="3" s="1"/>
  <c r="F43" i="3"/>
  <c r="F45" i="3" s="1"/>
  <c r="I104" i="1"/>
  <c r="I41" i="1"/>
  <c r="F55" i="2"/>
  <c r="E55" i="2"/>
  <c r="D55" i="2"/>
  <c r="F50" i="2"/>
  <c r="E50" i="2"/>
  <c r="D50" i="2"/>
  <c r="F56" i="1" l="1"/>
  <c r="H42" i="3"/>
  <c r="H43" i="3" s="1"/>
  <c r="H45" i="3" s="1"/>
  <c r="F43" i="1"/>
  <c r="F45" i="1" s="1"/>
  <c r="E23" i="1"/>
  <c r="E25" i="1" s="1"/>
  <c r="H23" i="3"/>
  <c r="H25" i="3" s="1"/>
  <c r="H46" i="3" s="1"/>
  <c r="H71" i="3" s="1"/>
  <c r="H86" i="3" s="1"/>
  <c r="H89" i="3" s="1"/>
  <c r="H93" i="3" s="1"/>
  <c r="H97" i="3" s="1"/>
  <c r="H100" i="3" s="1"/>
  <c r="I50" i="1"/>
  <c r="D55" i="1"/>
  <c r="E55" i="1"/>
  <c r="G55" i="1"/>
  <c r="F57" i="1"/>
  <c r="H55" i="1"/>
  <c r="I43" i="1"/>
  <c r="I45" i="1" s="1"/>
  <c r="I23" i="1"/>
  <c r="I25" i="1" s="1"/>
  <c r="I46" i="1" s="1"/>
  <c r="I71" i="1" s="1"/>
  <c r="I86" i="1" s="1"/>
  <c r="I89" i="1" s="1"/>
  <c r="I93" i="1" s="1"/>
  <c r="D43" i="1"/>
  <c r="D45" i="1" s="1"/>
  <c r="H43" i="1"/>
  <c r="H45" i="1" s="1"/>
  <c r="G23" i="1"/>
  <c r="G25" i="1" s="1"/>
  <c r="G43" i="1"/>
  <c r="G45" i="1" s="1"/>
  <c r="F46" i="1"/>
  <c r="D46" i="3"/>
  <c r="D71" i="3" s="1"/>
  <c r="D86" i="3" s="1"/>
  <c r="D89" i="3" s="1"/>
  <c r="D93" i="3" s="1"/>
  <c r="D97" i="3" s="1"/>
  <c r="D100" i="3" s="1"/>
  <c r="E43" i="1"/>
  <c r="E45" i="1" s="1"/>
  <c r="H23" i="1"/>
  <c r="H25" i="1" s="1"/>
  <c r="I46" i="3"/>
  <c r="I71" i="3" s="1"/>
  <c r="I86" i="3" s="1"/>
  <c r="I89" i="3" s="1"/>
  <c r="I93" i="3" s="1"/>
  <c r="I97" i="3" s="1"/>
  <c r="I100" i="3" s="1"/>
  <c r="G46" i="3"/>
  <c r="G71" i="3" s="1"/>
  <c r="G86" i="3" s="1"/>
  <c r="G89" i="3" s="1"/>
  <c r="G93" i="3" s="1"/>
  <c r="G97" i="3" s="1"/>
  <c r="G100" i="3" s="1"/>
  <c r="E46" i="3"/>
  <c r="E71" i="3" s="1"/>
  <c r="E86" i="3" s="1"/>
  <c r="E89" i="3" s="1"/>
  <c r="E93" i="3" s="1"/>
  <c r="E97" i="3" s="1"/>
  <c r="E100" i="3" s="1"/>
  <c r="F46" i="3"/>
  <c r="F71" i="3" s="1"/>
  <c r="F86" i="3" s="1"/>
  <c r="F89" i="3" s="1"/>
  <c r="F93" i="3" s="1"/>
  <c r="F97" i="3" s="1"/>
  <c r="F100" i="3" s="1"/>
  <c r="H56" i="1" l="1"/>
  <c r="D56" i="1"/>
  <c r="D46" i="1"/>
  <c r="G56" i="1"/>
  <c r="H46" i="1"/>
  <c r="E46" i="1"/>
  <c r="F71" i="1"/>
  <c r="F86" i="1" s="1"/>
  <c r="F89" i="1" s="1"/>
  <c r="F93" i="1" s="1"/>
  <c r="E56" i="1"/>
  <c r="G46" i="1"/>
  <c r="D57" i="1" l="1"/>
  <c r="D71" i="1"/>
  <c r="D86" i="1" s="1"/>
  <c r="D89" i="1" s="1"/>
  <c r="D93" i="1" s="1"/>
  <c r="D97" i="1" s="1"/>
  <c r="D100" i="1" s="1"/>
  <c r="E105" i="1" s="1"/>
  <c r="E94" i="1" s="1"/>
  <c r="G57" i="1"/>
  <c r="G71" i="1" s="1"/>
  <c r="G86" i="1" s="1"/>
  <c r="G89" i="1" s="1"/>
  <c r="G93" i="1" s="1"/>
  <c r="E71" i="1"/>
  <c r="E86" i="1" s="1"/>
  <c r="E89" i="1" s="1"/>
  <c r="E93" i="1" s="1"/>
  <c r="E97" i="1" s="1"/>
  <c r="E100" i="1" s="1"/>
  <c r="F105" i="1" s="1"/>
  <c r="F94" i="1" s="1"/>
  <c r="F97" i="1" s="1"/>
  <c r="F100" i="1" s="1"/>
  <c r="G105" i="1" s="1"/>
  <c r="G94" i="1" s="1"/>
  <c r="E57" i="1"/>
  <c r="H57" i="1"/>
  <c r="H71" i="1" s="1"/>
  <c r="H86" i="1" s="1"/>
  <c r="H89" i="1" s="1"/>
  <c r="H93" i="1" s="1"/>
  <c r="G97" i="1" l="1"/>
  <c r="G100" i="1" s="1"/>
  <c r="H105" i="1" s="1"/>
  <c r="H94" i="1" s="1"/>
  <c r="H97" i="1" s="1"/>
  <c r="H100" i="1" s="1"/>
  <c r="I105" i="1" s="1"/>
  <c r="I94" i="1" s="1"/>
  <c r="I97" i="1" s="1"/>
  <c r="O12" i="3"/>
  <c r="O60" i="3"/>
  <c r="O68" i="3"/>
  <c r="O51" i="3"/>
  <c r="O102" i="3"/>
  <c r="O9" i="3"/>
  <c r="O30" i="3"/>
  <c r="O19" i="3"/>
  <c r="O40" i="3"/>
  <c r="O65" i="3"/>
  <c r="O78" i="3"/>
  <c r="O47" i="3"/>
  <c r="O84" i="3"/>
  <c r="O81" i="3"/>
  <c r="O6" i="3"/>
  <c r="O27" i="3"/>
  <c r="O16" i="3"/>
  <c r="O37" i="3"/>
  <c r="O62" i="3"/>
  <c r="O75" i="3"/>
  <c r="O54" i="3"/>
  <c r="O35" i="3"/>
  <c r="O11" i="3"/>
  <c r="O34" i="3"/>
  <c r="O8" i="3"/>
  <c r="O29" i="3"/>
  <c r="O18" i="3"/>
  <c r="O39" i="3"/>
  <c r="O64" i="3"/>
  <c r="O77" i="3"/>
  <c r="O74" i="3"/>
  <c r="O26" i="3"/>
  <c r="O15" i="3"/>
  <c r="O61" i="3"/>
  <c r="O69" i="3"/>
  <c r="O82" i="3"/>
  <c r="O53" i="3"/>
  <c r="O80" i="3"/>
  <c r="O10" i="3"/>
  <c r="O31" i="3"/>
  <c r="O20" i="3"/>
  <c r="O58" i="3"/>
  <c r="O66" i="3"/>
  <c r="O79" i="3"/>
  <c r="O48" i="3"/>
  <c r="O85" i="3"/>
  <c r="O59" i="3"/>
  <c r="O67" i="3"/>
  <c r="O49" i="3"/>
  <c r="O87" i="3"/>
  <c r="O7" i="3"/>
  <c r="O28" i="3"/>
  <c r="O17" i="3"/>
  <c r="O38" i="3"/>
  <c r="O63" i="3"/>
  <c r="O76" i="3"/>
  <c r="O73" i="3"/>
  <c r="N22" i="3"/>
  <c r="O103" i="3"/>
  <c r="N44" i="3"/>
  <c r="B2" i="1"/>
  <c r="B1" i="1"/>
  <c r="B2" i="2"/>
  <c r="B1" i="2"/>
  <c r="B2" i="3"/>
  <c r="B1" i="3"/>
  <c r="B2" i="5"/>
  <c r="B1" i="5"/>
  <c r="B1" i="4"/>
  <c r="B2" i="4"/>
  <c r="I22" i="4"/>
  <c r="H22" i="4"/>
  <c r="G22" i="4"/>
  <c r="F22" i="4"/>
  <c r="E22" i="4"/>
  <c r="D22" i="4"/>
  <c r="J105" i="3"/>
  <c r="M103" i="3"/>
  <c r="L103" i="3"/>
  <c r="K103" i="3"/>
  <c r="J103" i="3"/>
  <c r="N102" i="3"/>
  <c r="M102" i="3"/>
  <c r="L102" i="3"/>
  <c r="K102" i="3"/>
  <c r="J102" i="3"/>
  <c r="N99" i="3"/>
  <c r="M99" i="3"/>
  <c r="L99" i="3"/>
  <c r="K99" i="3"/>
  <c r="J99" i="3"/>
  <c r="O96" i="3"/>
  <c r="N96" i="3"/>
  <c r="M96" i="3"/>
  <c r="L96" i="3"/>
  <c r="K96" i="3"/>
  <c r="J96" i="3"/>
  <c r="O95" i="3"/>
  <c r="N95" i="3"/>
  <c r="M95" i="3"/>
  <c r="L95" i="3"/>
  <c r="K95" i="3"/>
  <c r="J95" i="3"/>
  <c r="O91" i="3"/>
  <c r="N91" i="3"/>
  <c r="M91" i="3"/>
  <c r="L91" i="3"/>
  <c r="K91" i="3"/>
  <c r="J91" i="3"/>
  <c r="O90" i="3"/>
  <c r="N90" i="3"/>
  <c r="M90" i="3"/>
  <c r="L90" i="3"/>
  <c r="K90" i="3"/>
  <c r="J90" i="3"/>
  <c r="O88" i="3"/>
  <c r="N88" i="3"/>
  <c r="M88" i="3"/>
  <c r="L88" i="3"/>
  <c r="K88" i="3"/>
  <c r="J88" i="3"/>
  <c r="N87" i="3"/>
  <c r="M87" i="3"/>
  <c r="L87" i="3"/>
  <c r="K87" i="3"/>
  <c r="J87" i="3"/>
  <c r="N85" i="3"/>
  <c r="M85" i="3"/>
  <c r="L85" i="3"/>
  <c r="K85" i="3"/>
  <c r="J85" i="3"/>
  <c r="N84" i="3"/>
  <c r="M84" i="3"/>
  <c r="L84" i="3"/>
  <c r="K84" i="3"/>
  <c r="J84" i="3"/>
  <c r="N82" i="3"/>
  <c r="M82" i="3"/>
  <c r="L82" i="3"/>
  <c r="K82" i="3"/>
  <c r="J82" i="3"/>
  <c r="N81" i="3"/>
  <c r="M81" i="3"/>
  <c r="L81" i="3"/>
  <c r="K81" i="3"/>
  <c r="J81" i="3"/>
  <c r="N80" i="3"/>
  <c r="M80" i="3"/>
  <c r="L80" i="3"/>
  <c r="K80" i="3"/>
  <c r="J80" i="3"/>
  <c r="N79" i="3"/>
  <c r="M79" i="3"/>
  <c r="L79" i="3"/>
  <c r="K79" i="3"/>
  <c r="J79" i="3"/>
  <c r="N78" i="3"/>
  <c r="M78" i="3"/>
  <c r="L78" i="3"/>
  <c r="K78" i="3"/>
  <c r="J78" i="3"/>
  <c r="N77" i="3"/>
  <c r="M77" i="3"/>
  <c r="L77" i="3"/>
  <c r="K77" i="3"/>
  <c r="J77" i="3"/>
  <c r="N76" i="3"/>
  <c r="M76" i="3"/>
  <c r="L76" i="3"/>
  <c r="K76" i="3"/>
  <c r="J76" i="3"/>
  <c r="N75" i="3"/>
  <c r="M75" i="3"/>
  <c r="L75" i="3"/>
  <c r="K75" i="3"/>
  <c r="J75" i="3"/>
  <c r="N74" i="3"/>
  <c r="M74" i="3"/>
  <c r="L74" i="3"/>
  <c r="K74" i="3"/>
  <c r="J74" i="3"/>
  <c r="N73" i="3"/>
  <c r="M73" i="3"/>
  <c r="L73" i="3"/>
  <c r="K73" i="3"/>
  <c r="J73" i="3"/>
  <c r="O72" i="3"/>
  <c r="N72" i="3"/>
  <c r="M72" i="3"/>
  <c r="L72" i="3"/>
  <c r="K72" i="3"/>
  <c r="J72" i="3"/>
  <c r="N69" i="3"/>
  <c r="M69" i="3"/>
  <c r="L69" i="3"/>
  <c r="K69" i="3"/>
  <c r="J69" i="3"/>
  <c r="N68" i="3"/>
  <c r="M68" i="3"/>
  <c r="L68" i="3"/>
  <c r="K68" i="3"/>
  <c r="J68" i="3"/>
  <c r="N67" i="3"/>
  <c r="M67" i="3"/>
  <c r="L67" i="3"/>
  <c r="K67" i="3"/>
  <c r="J67" i="3"/>
  <c r="N66" i="3"/>
  <c r="M66" i="3"/>
  <c r="L66" i="3"/>
  <c r="K66" i="3"/>
  <c r="J66" i="3"/>
  <c r="N65" i="3"/>
  <c r="M65" i="3"/>
  <c r="L65" i="3"/>
  <c r="K65" i="3"/>
  <c r="J65" i="3"/>
  <c r="N64" i="3"/>
  <c r="M64" i="3"/>
  <c r="L64" i="3"/>
  <c r="K64" i="3"/>
  <c r="J64" i="3"/>
  <c r="N63" i="3"/>
  <c r="M63" i="3"/>
  <c r="L63" i="3"/>
  <c r="K63" i="3"/>
  <c r="J63" i="3"/>
  <c r="N62" i="3"/>
  <c r="M62" i="3"/>
  <c r="L62" i="3"/>
  <c r="K62" i="3"/>
  <c r="J62" i="3"/>
  <c r="N61" i="3"/>
  <c r="M61" i="3"/>
  <c r="L61" i="3"/>
  <c r="K61" i="3"/>
  <c r="J61" i="3"/>
  <c r="N60" i="3"/>
  <c r="M60" i="3"/>
  <c r="L60" i="3"/>
  <c r="K60" i="3"/>
  <c r="J60" i="3"/>
  <c r="N59" i="3"/>
  <c r="M59" i="3"/>
  <c r="L59" i="3"/>
  <c r="K59" i="3"/>
  <c r="J59" i="3"/>
  <c r="N58" i="3"/>
  <c r="M58" i="3"/>
  <c r="L58" i="3"/>
  <c r="K58" i="3"/>
  <c r="J58" i="3"/>
  <c r="N54" i="3"/>
  <c r="M54" i="3"/>
  <c r="L54" i="3"/>
  <c r="K54" i="3"/>
  <c r="J54" i="3"/>
  <c r="N53" i="3"/>
  <c r="M53" i="3"/>
  <c r="L53" i="3"/>
  <c r="K53" i="3"/>
  <c r="J53" i="3"/>
  <c r="N51" i="3"/>
  <c r="M51" i="3"/>
  <c r="L51" i="3"/>
  <c r="K51" i="3"/>
  <c r="J51" i="3"/>
  <c r="N49" i="3"/>
  <c r="M49" i="3"/>
  <c r="L49" i="3"/>
  <c r="K49" i="3"/>
  <c r="J49" i="3"/>
  <c r="N48" i="3"/>
  <c r="M48" i="3"/>
  <c r="L48" i="3"/>
  <c r="K48" i="3"/>
  <c r="J48" i="3"/>
  <c r="N47" i="3"/>
  <c r="M47" i="3"/>
  <c r="L47" i="3"/>
  <c r="K47" i="3"/>
  <c r="J47" i="3"/>
  <c r="M44" i="3"/>
  <c r="L44" i="3"/>
  <c r="K44" i="3"/>
  <c r="J44" i="3"/>
  <c r="N40" i="3"/>
  <c r="M40" i="3"/>
  <c r="L40" i="3"/>
  <c r="K40" i="3"/>
  <c r="J40" i="3"/>
  <c r="N39" i="3"/>
  <c r="M39" i="3"/>
  <c r="L39" i="3"/>
  <c r="K39" i="3"/>
  <c r="J39" i="3"/>
  <c r="N38" i="3"/>
  <c r="M38" i="3"/>
  <c r="L38" i="3"/>
  <c r="K38" i="3"/>
  <c r="J38" i="3"/>
  <c r="N37" i="3"/>
  <c r="M37" i="3"/>
  <c r="L37" i="3"/>
  <c r="K37" i="3"/>
  <c r="J37" i="3"/>
  <c r="O36" i="3"/>
  <c r="N36" i="3"/>
  <c r="M36" i="3"/>
  <c r="L36" i="3"/>
  <c r="K36" i="3"/>
  <c r="J36" i="3"/>
  <c r="N35" i="3"/>
  <c r="M35" i="3"/>
  <c r="L35" i="3"/>
  <c r="K35" i="3"/>
  <c r="J35" i="3"/>
  <c r="N34" i="3"/>
  <c r="M34" i="3"/>
  <c r="L34" i="3"/>
  <c r="K34" i="3"/>
  <c r="J34" i="3"/>
  <c r="O32" i="3"/>
  <c r="N32" i="3"/>
  <c r="M32" i="3"/>
  <c r="L32" i="3"/>
  <c r="K32" i="3"/>
  <c r="J32" i="3"/>
  <c r="N31" i="3"/>
  <c r="M31" i="3"/>
  <c r="L31" i="3"/>
  <c r="K31" i="3"/>
  <c r="J31" i="3"/>
  <c r="N30" i="3"/>
  <c r="M30" i="3"/>
  <c r="L30" i="3"/>
  <c r="K30" i="3"/>
  <c r="J30" i="3"/>
  <c r="N29" i="3"/>
  <c r="M29" i="3"/>
  <c r="L29" i="3"/>
  <c r="K29" i="3"/>
  <c r="J29" i="3"/>
  <c r="N28" i="3"/>
  <c r="M28" i="3"/>
  <c r="L28" i="3"/>
  <c r="K28" i="3"/>
  <c r="J28" i="3"/>
  <c r="N27" i="3"/>
  <c r="M27" i="3"/>
  <c r="L27" i="3"/>
  <c r="K27" i="3"/>
  <c r="J27" i="3"/>
  <c r="N26" i="3"/>
  <c r="M26" i="3"/>
  <c r="L26" i="3"/>
  <c r="K26" i="3"/>
  <c r="J26" i="3"/>
  <c r="M24" i="3"/>
  <c r="L24" i="3"/>
  <c r="K24" i="3"/>
  <c r="J24" i="3"/>
  <c r="M22" i="3"/>
  <c r="L22" i="3"/>
  <c r="K22" i="3"/>
  <c r="N20" i="3"/>
  <c r="M20" i="3"/>
  <c r="L20" i="3"/>
  <c r="K20" i="3"/>
  <c r="J20" i="3"/>
  <c r="N19" i="3"/>
  <c r="M19" i="3"/>
  <c r="L19" i="3"/>
  <c r="K19" i="3"/>
  <c r="J19" i="3"/>
  <c r="N18" i="3"/>
  <c r="M18" i="3"/>
  <c r="L18" i="3"/>
  <c r="K18" i="3"/>
  <c r="J18" i="3"/>
  <c r="N17" i="3"/>
  <c r="M17" i="3"/>
  <c r="L17" i="3"/>
  <c r="K17" i="3"/>
  <c r="J17" i="3"/>
  <c r="N16" i="3"/>
  <c r="M16" i="3"/>
  <c r="L16" i="3"/>
  <c r="K16" i="3"/>
  <c r="J16" i="3"/>
  <c r="N15" i="3"/>
  <c r="M15" i="3"/>
  <c r="L15" i="3"/>
  <c r="K15" i="3"/>
  <c r="J15" i="3"/>
  <c r="O14" i="3"/>
  <c r="N14" i="3"/>
  <c r="M14" i="3"/>
  <c r="L14" i="3"/>
  <c r="K14" i="3"/>
  <c r="J14" i="3"/>
  <c r="N12" i="3"/>
  <c r="M12" i="3"/>
  <c r="L12" i="3"/>
  <c r="K12" i="3"/>
  <c r="J12" i="3"/>
  <c r="N11" i="3"/>
  <c r="M11" i="3"/>
  <c r="L11" i="3"/>
  <c r="K11" i="3"/>
  <c r="J11" i="3"/>
  <c r="N10" i="3"/>
  <c r="M10" i="3"/>
  <c r="L10" i="3"/>
  <c r="K10" i="3"/>
  <c r="J10" i="3"/>
  <c r="N9" i="3"/>
  <c r="M9" i="3"/>
  <c r="L9" i="3"/>
  <c r="K9" i="3"/>
  <c r="J9" i="3"/>
  <c r="N8" i="3"/>
  <c r="M8" i="3"/>
  <c r="L8" i="3"/>
  <c r="K8" i="3"/>
  <c r="J8" i="3"/>
  <c r="N7" i="3"/>
  <c r="M7" i="3"/>
  <c r="L7" i="3"/>
  <c r="K7" i="3"/>
  <c r="J7" i="3"/>
  <c r="N6" i="3"/>
  <c r="M6" i="3"/>
  <c r="L6" i="3"/>
  <c r="K6" i="3"/>
  <c r="J6" i="3"/>
  <c r="A5" i="5"/>
  <c r="D42" i="2"/>
  <c r="I99" i="1" l="1"/>
  <c r="I100" i="1" s="1"/>
  <c r="N24" i="3"/>
  <c r="N103" i="3"/>
  <c r="O24" i="3"/>
  <c r="O44" i="3"/>
  <c r="O22" i="3"/>
  <c r="A50" i="4"/>
  <c r="A45" i="4"/>
  <c r="I39" i="4" l="1"/>
  <c r="I38" i="4" l="1"/>
  <c r="I40" i="4" s="1"/>
  <c r="O104" i="3"/>
  <c r="I32" i="4" l="1"/>
  <c r="I31" i="4"/>
  <c r="I27" i="4"/>
  <c r="I26" i="4"/>
  <c r="I46" i="2" l="1"/>
  <c r="I45" i="2"/>
  <c r="I39" i="2"/>
  <c r="I38" i="2"/>
  <c r="I23" i="2"/>
  <c r="I24" i="2"/>
  <c r="I25" i="2"/>
  <c r="I27" i="2"/>
  <c r="I28" i="2"/>
  <c r="I9" i="2"/>
  <c r="I10" i="2"/>
  <c r="I11" i="2"/>
  <c r="I12" i="2"/>
  <c r="I13" i="2"/>
  <c r="I14" i="2"/>
  <c r="I15" i="2"/>
  <c r="I16" i="2"/>
  <c r="I17" i="2"/>
  <c r="I18" i="2"/>
  <c r="I19" i="2"/>
  <c r="I20" i="2"/>
  <c r="H27" i="4"/>
  <c r="G27" i="4"/>
  <c r="F27" i="4"/>
  <c r="E27" i="4"/>
  <c r="H26" i="4"/>
  <c r="G26" i="4"/>
  <c r="F26" i="4"/>
  <c r="E26" i="4"/>
  <c r="H28" i="2"/>
  <c r="G28" i="2"/>
  <c r="F28" i="2"/>
  <c r="E28" i="2"/>
  <c r="H27" i="2"/>
  <c r="G27" i="2"/>
  <c r="F27" i="2"/>
  <c r="E27" i="2"/>
  <c r="H25" i="2"/>
  <c r="G25" i="2"/>
  <c r="F25" i="2"/>
  <c r="E25" i="2"/>
  <c r="H23" i="2"/>
  <c r="G23" i="2"/>
  <c r="F23" i="2"/>
  <c r="E23" i="2"/>
  <c r="H20" i="2"/>
  <c r="G20" i="2"/>
  <c r="F20" i="2"/>
  <c r="E20" i="2"/>
  <c r="H19" i="2"/>
  <c r="G19" i="2"/>
  <c r="F19" i="2"/>
  <c r="E19" i="2"/>
  <c r="H18" i="2"/>
  <c r="G18" i="2"/>
  <c r="F18" i="2"/>
  <c r="E18" i="2"/>
  <c r="H17" i="2"/>
  <c r="G17" i="2"/>
  <c r="F17" i="2"/>
  <c r="E17" i="2"/>
  <c r="H16" i="2"/>
  <c r="G16" i="2"/>
  <c r="F16" i="2"/>
  <c r="E16" i="2"/>
  <c r="H15" i="2"/>
  <c r="G15" i="2"/>
  <c r="F15" i="2"/>
  <c r="E15" i="2"/>
  <c r="H14" i="2"/>
  <c r="G14" i="2"/>
  <c r="F14" i="2"/>
  <c r="E14" i="2"/>
  <c r="H13" i="2"/>
  <c r="G13" i="2"/>
  <c r="F13" i="2"/>
  <c r="E13" i="2"/>
  <c r="H12" i="2"/>
  <c r="G12" i="2"/>
  <c r="F12" i="2"/>
  <c r="E12" i="2"/>
  <c r="H11" i="2"/>
  <c r="G11" i="2"/>
  <c r="F11" i="2"/>
  <c r="E11" i="2"/>
  <c r="H10" i="2"/>
  <c r="G10" i="2"/>
  <c r="F10" i="2"/>
  <c r="E10" i="2"/>
  <c r="H9" i="2"/>
  <c r="G9" i="2"/>
  <c r="F9" i="2"/>
  <c r="E9" i="2"/>
  <c r="I47" i="2" l="1"/>
  <c r="D14" i="2"/>
  <c r="D15" i="2"/>
  <c r="D25" i="2"/>
  <c r="D26" i="4"/>
  <c r="G39" i="2"/>
  <c r="G32" i="4"/>
  <c r="D46" i="2"/>
  <c r="D39" i="4"/>
  <c r="J13" i="3"/>
  <c r="D16" i="2"/>
  <c r="J83" i="3"/>
  <c r="D27" i="2"/>
  <c r="D27" i="4"/>
  <c r="H39" i="2"/>
  <c r="H32" i="4"/>
  <c r="E45" i="2"/>
  <c r="E38" i="4"/>
  <c r="D48" i="2"/>
  <c r="H46" i="2"/>
  <c r="H39" i="4"/>
  <c r="D9" i="2"/>
  <c r="D17" i="2"/>
  <c r="D28" i="2"/>
  <c r="D38" i="2"/>
  <c r="D31" i="4"/>
  <c r="D35" i="4"/>
  <c r="D49" i="4" s="1"/>
  <c r="E50" i="4" s="1"/>
  <c r="F45" i="2"/>
  <c r="F38" i="4"/>
  <c r="J50" i="3"/>
  <c r="D18" i="2"/>
  <c r="D39" i="2"/>
  <c r="D32" i="4"/>
  <c r="E42" i="2"/>
  <c r="E35" i="4"/>
  <c r="E49" i="4" s="1"/>
  <c r="G45" i="2"/>
  <c r="G38" i="4"/>
  <c r="D10" i="2"/>
  <c r="D11" i="2"/>
  <c r="D19" i="2"/>
  <c r="E38" i="2"/>
  <c r="E31" i="4"/>
  <c r="F42" i="2"/>
  <c r="F35" i="4"/>
  <c r="F49" i="4" s="1"/>
  <c r="H45" i="2"/>
  <c r="H38" i="4"/>
  <c r="D12" i="2"/>
  <c r="D20" i="2"/>
  <c r="F38" i="2"/>
  <c r="F31" i="4"/>
  <c r="E46" i="2"/>
  <c r="E39" i="4"/>
  <c r="D13" i="2"/>
  <c r="D23" i="2"/>
  <c r="E39" i="2"/>
  <c r="E32" i="4"/>
  <c r="F46" i="2"/>
  <c r="F39" i="4"/>
  <c r="D24" i="2"/>
  <c r="F39" i="2"/>
  <c r="F32" i="4"/>
  <c r="D45" i="2"/>
  <c r="D38" i="4"/>
  <c r="G46" i="2"/>
  <c r="G39" i="4"/>
  <c r="J70" i="3"/>
  <c r="J41" i="3"/>
  <c r="J33" i="3"/>
  <c r="J21" i="3"/>
  <c r="J52" i="3" l="1"/>
  <c r="D51" i="4"/>
  <c r="E51" i="4"/>
  <c r="D26" i="2"/>
  <c r="D7" i="2"/>
  <c r="J55" i="3" l="1"/>
  <c r="J56" i="3" l="1"/>
  <c r="J57" i="3"/>
  <c r="D6" i="2" l="1"/>
  <c r="D8" i="2"/>
  <c r="E24" i="2"/>
  <c r="D6" i="4" l="1"/>
  <c r="D24" i="4" s="1"/>
  <c r="F24" i="2"/>
  <c r="D29" i="4" l="1"/>
  <c r="G38" i="2" l="1"/>
  <c r="G31" i="4"/>
  <c r="G24" i="2"/>
  <c r="H24" i="2" l="1"/>
  <c r="H38" i="2" l="1"/>
  <c r="H31" i="4"/>
  <c r="D37" i="2" l="1"/>
  <c r="D31" i="2"/>
  <c r="D30" i="2"/>
  <c r="D41" i="4" l="1"/>
  <c r="D30" i="4" s="1"/>
  <c r="D33" i="4" s="1"/>
  <c r="D44" i="4" s="1"/>
  <c r="D46" i="4" s="1"/>
  <c r="J94" i="3"/>
  <c r="D107" i="1"/>
  <c r="D21" i="2"/>
  <c r="E45" i="4" l="1"/>
  <c r="D22" i="2"/>
  <c r="D29" i="2" s="1"/>
  <c r="D32" i="2" s="1"/>
  <c r="C8" i="6"/>
  <c r="E4" i="3" l="1"/>
  <c r="K4" i="3" s="1"/>
  <c r="E4" i="2"/>
  <c r="E4" i="1"/>
  <c r="O42" i="3"/>
  <c r="N42" i="3"/>
  <c r="M42" i="3"/>
  <c r="L42" i="3"/>
  <c r="K42" i="3"/>
  <c r="D4" i="1" l="1"/>
  <c r="D4" i="4" s="1"/>
  <c r="D11" i="4" s="1"/>
  <c r="F4" i="1"/>
  <c r="E4" i="4"/>
  <c r="E11" i="4" s="1"/>
  <c r="D4" i="2"/>
  <c r="F4" i="2"/>
  <c r="G4" i="2" s="1"/>
  <c r="H4" i="2" s="1"/>
  <c r="I4" i="2" s="1"/>
  <c r="D4" i="3"/>
  <c r="J4" i="3" s="1"/>
  <c r="F4" i="3"/>
  <c r="G4" i="3" s="1"/>
  <c r="H4" i="3" s="1"/>
  <c r="I4" i="3" s="1"/>
  <c r="L4" i="3" l="1"/>
  <c r="G4" i="1"/>
  <c r="F4" i="4"/>
  <c r="F11" i="4" s="1"/>
  <c r="M4" i="3"/>
  <c r="H4" i="1" l="1"/>
  <c r="G4" i="4"/>
  <c r="G11" i="4" s="1"/>
  <c r="O4" i="3"/>
  <c r="N4" i="3"/>
  <c r="I4" i="1" l="1"/>
  <c r="I4" i="4" s="1"/>
  <c r="I11" i="4" s="1"/>
  <c r="H4" i="4"/>
  <c r="H11" i="4" s="1"/>
  <c r="D40" i="4" l="1"/>
  <c r="E40" i="4"/>
  <c r="F40" i="4"/>
  <c r="G40" i="4"/>
  <c r="H40" i="4"/>
  <c r="E47" i="2" l="1"/>
  <c r="F47" i="2"/>
  <c r="H47" i="2"/>
  <c r="D47" i="2"/>
  <c r="G47" i="2"/>
  <c r="H26" i="2" l="1"/>
  <c r="N83" i="3"/>
  <c r="I26" i="2"/>
  <c r="O83" i="3"/>
  <c r="F26" i="2"/>
  <c r="L83" i="3"/>
  <c r="G26" i="2"/>
  <c r="M83" i="3"/>
  <c r="E26" i="2"/>
  <c r="K83" i="3"/>
  <c r="K33" i="3"/>
  <c r="L33" i="3"/>
  <c r="M33" i="3"/>
  <c r="N33" i="3"/>
  <c r="O33" i="3"/>
  <c r="L43" i="3" l="1"/>
  <c r="L41" i="3"/>
  <c r="K43" i="3"/>
  <c r="K41" i="3"/>
  <c r="N43" i="3"/>
  <c r="N41" i="3"/>
  <c r="M43" i="3"/>
  <c r="M41" i="3"/>
  <c r="O43" i="3"/>
  <c r="O41" i="3"/>
  <c r="N21" i="3"/>
  <c r="K13" i="3"/>
  <c r="L13" i="3"/>
  <c r="N13" i="3"/>
  <c r="O13" i="3"/>
  <c r="M13" i="3"/>
  <c r="L21" i="3"/>
  <c r="M21" i="3"/>
  <c r="K21" i="3"/>
  <c r="D33" i="2"/>
  <c r="D36" i="2" s="1"/>
  <c r="D40" i="2" s="1"/>
  <c r="D34" i="2"/>
  <c r="O45" i="3" l="1"/>
  <c r="O23" i="3"/>
  <c r="O21" i="3"/>
  <c r="D53" i="2"/>
  <c r="D51" i="2"/>
  <c r="G33" i="2"/>
  <c r="H33" i="2"/>
  <c r="I33" i="2"/>
  <c r="E33" i="2"/>
  <c r="F33" i="2"/>
  <c r="I34" i="2"/>
  <c r="H34" i="2"/>
  <c r="G34" i="2"/>
  <c r="F34" i="2"/>
  <c r="E34" i="2"/>
  <c r="N45" i="3" l="1"/>
  <c r="M45" i="3"/>
  <c r="K45" i="3"/>
  <c r="L45" i="3"/>
  <c r="O25" i="3"/>
  <c r="K23" i="3"/>
  <c r="L23" i="3"/>
  <c r="M23" i="3"/>
  <c r="N23" i="3"/>
  <c r="I21" i="2"/>
  <c r="O70" i="3"/>
  <c r="M70" i="3"/>
  <c r="N70" i="3"/>
  <c r="L46" i="3" l="1"/>
  <c r="O46" i="3"/>
  <c r="N25" i="3"/>
  <c r="M25" i="3"/>
  <c r="L25" i="3"/>
  <c r="K25" i="3"/>
  <c r="H21" i="2"/>
  <c r="G21" i="2"/>
  <c r="F6" i="2" l="1"/>
  <c r="I6" i="2"/>
  <c r="E6" i="2"/>
  <c r="K46" i="3"/>
  <c r="G6" i="2"/>
  <c r="M46" i="3"/>
  <c r="H6" i="2"/>
  <c r="N46" i="3"/>
  <c r="J104" i="3"/>
  <c r="O52" i="3" l="1"/>
  <c r="M52" i="3" l="1"/>
  <c r="N52" i="3"/>
  <c r="L52" i="3"/>
  <c r="L104" i="3"/>
  <c r="M104" i="3"/>
  <c r="N104" i="3"/>
  <c r="O56" i="3" l="1"/>
  <c r="O55" i="3"/>
  <c r="K104" i="3"/>
  <c r="K52" i="3" l="1"/>
  <c r="H31" i="2"/>
  <c r="F31" i="2"/>
  <c r="E31" i="2"/>
  <c r="G31" i="2"/>
  <c r="I31" i="2"/>
  <c r="E7" i="2" l="1"/>
  <c r="K50" i="3"/>
  <c r="F7" i="2" l="1"/>
  <c r="L50" i="3"/>
  <c r="G7" i="2" l="1"/>
  <c r="M50" i="3"/>
  <c r="H7" i="2" l="1"/>
  <c r="N50" i="3"/>
  <c r="K55" i="3" l="1"/>
  <c r="I7" i="2"/>
  <c r="O50" i="3"/>
  <c r="K56" i="3" l="1"/>
  <c r="E8" i="2" l="1"/>
  <c r="K57" i="3"/>
  <c r="L55" i="3" l="1"/>
  <c r="L56" i="3" l="1"/>
  <c r="M55" i="3" l="1"/>
  <c r="F8" i="2"/>
  <c r="L57" i="3"/>
  <c r="M56" i="3" l="1"/>
  <c r="N55" i="3" l="1"/>
  <c r="G8" i="2"/>
  <c r="G22" i="2" s="1"/>
  <c r="M57" i="3"/>
  <c r="M71" i="3"/>
  <c r="N56" i="3" l="1"/>
  <c r="H8" i="2" l="1"/>
  <c r="H22" i="2" s="1"/>
  <c r="N57" i="3"/>
  <c r="N71" i="3"/>
  <c r="I8" i="2" l="1"/>
  <c r="O57" i="3"/>
  <c r="O71" i="3"/>
  <c r="I22" i="2"/>
  <c r="L70" i="3" l="1"/>
  <c r="F21" i="2"/>
  <c r="F22" i="2" s="1"/>
  <c r="K70" i="3"/>
  <c r="E21" i="2"/>
  <c r="E22" i="2" s="1"/>
  <c r="E29" i="2" s="1"/>
  <c r="L71" i="3" l="1"/>
  <c r="K86" i="3" l="1"/>
  <c r="K71" i="3"/>
  <c r="D43" i="2"/>
  <c r="D36" i="4"/>
  <c r="E41" i="4" s="1"/>
  <c r="E30" i="4" s="1"/>
  <c r="K105" i="3" l="1"/>
  <c r="E48" i="2"/>
  <c r="E37" i="2" s="1"/>
  <c r="K94" i="3"/>
  <c r="K89" i="3"/>
  <c r="E30" i="2"/>
  <c r="E6" i="4" l="1"/>
  <c r="E32" i="2"/>
  <c r="E107" i="1" l="1"/>
  <c r="K93" i="3"/>
  <c r="E36" i="2"/>
  <c r="E40" i="2" s="1"/>
  <c r="E24" i="4"/>
  <c r="E53" i="2" l="1"/>
  <c r="K97" i="3"/>
  <c r="E51" i="2"/>
  <c r="E43" i="2"/>
  <c r="E29" i="4"/>
  <c r="E33" i="4" s="1"/>
  <c r="E44" i="4" s="1"/>
  <c r="F45" i="4" s="1"/>
  <c r="L105" i="3" l="1"/>
  <c r="F48" i="2"/>
  <c r="F37" i="2" s="1"/>
  <c r="L94" i="3"/>
  <c r="K100" i="3"/>
  <c r="E46" i="4"/>
  <c r="E36" i="4"/>
  <c r="F41" i="4" s="1"/>
  <c r="F30" i="4" s="1"/>
  <c r="F50" i="4" l="1"/>
  <c r="L86" i="3" l="1"/>
  <c r="F29" i="2"/>
  <c r="F30" i="2" l="1"/>
  <c r="F6" i="4" l="1"/>
  <c r="F24" i="4" s="1"/>
  <c r="F29" i="4" s="1"/>
  <c r="F33" i="4" s="1"/>
  <c r="F44" i="4" s="1"/>
  <c r="G45" i="4" s="1"/>
  <c r="L89" i="3"/>
  <c r="F32" i="2"/>
  <c r="F36" i="2" s="1"/>
  <c r="F107" i="1" l="1"/>
  <c r="L93" i="3"/>
  <c r="F40" i="2"/>
  <c r="F46" i="4"/>
  <c r="L97" i="3" l="1"/>
  <c r="F53" i="2"/>
  <c r="F43" i="2"/>
  <c r="F51" i="2"/>
  <c r="M105" i="3" l="1"/>
  <c r="G48" i="2"/>
  <c r="G37" i="2" s="1"/>
  <c r="M94" i="3"/>
  <c r="L100" i="3"/>
  <c r="F36" i="4"/>
  <c r="G41" i="4" s="1"/>
  <c r="G30" i="4" s="1"/>
  <c r="G50" i="4" l="1"/>
  <c r="F51" i="4"/>
  <c r="M86" i="3" l="1"/>
  <c r="G29" i="2"/>
  <c r="G30" i="2" l="1"/>
  <c r="G6" i="4" l="1"/>
  <c r="G24" i="4" s="1"/>
  <c r="G29" i="4" s="1"/>
  <c r="G33" i="4" s="1"/>
  <c r="M89" i="3"/>
  <c r="G32" i="2"/>
  <c r="G36" i="2" s="1"/>
  <c r="G107" i="1" l="1"/>
  <c r="M93" i="3"/>
  <c r="G42" i="2"/>
  <c r="G44" i="4"/>
  <c r="G35" i="4"/>
  <c r="G40" i="2"/>
  <c r="G53" i="2" l="1"/>
  <c r="G50" i="2"/>
  <c r="G51" i="2" s="1"/>
  <c r="M97" i="3"/>
  <c r="G43" i="2"/>
  <c r="G46" i="4"/>
  <c r="H45" i="4"/>
  <c r="N105" i="3" l="1"/>
  <c r="H48" i="2"/>
  <c r="H37" i="2" s="1"/>
  <c r="N94" i="3"/>
  <c r="M100" i="3"/>
  <c r="G49" i="4"/>
  <c r="G51" i="4" s="1"/>
  <c r="G36" i="4"/>
  <c r="H41" i="4" s="1"/>
  <c r="H30" i="4" s="1"/>
  <c r="N86" i="3" l="1"/>
  <c r="H29" i="2"/>
  <c r="N89" i="3" l="1"/>
  <c r="H30" i="2"/>
  <c r="H32" i="2" l="1"/>
  <c r="H36" i="2" s="1"/>
  <c r="H6" i="4"/>
  <c r="H24" i="4" s="1"/>
  <c r="H107" i="1" l="1"/>
  <c r="N93" i="3"/>
  <c r="H42" i="2"/>
  <c r="H40" i="2"/>
  <c r="H29" i="4"/>
  <c r="H33" i="4" s="1"/>
  <c r="N97" i="3" l="1"/>
  <c r="H53" i="2"/>
  <c r="H43" i="2"/>
  <c r="H44" i="4"/>
  <c r="H35" i="4"/>
  <c r="H51" i="2"/>
  <c r="O105" i="3" l="1"/>
  <c r="I48" i="2"/>
  <c r="I37" i="2" s="1"/>
  <c r="O94" i="3"/>
  <c r="N100" i="3"/>
  <c r="H46" i="4"/>
  <c r="I45" i="4"/>
  <c r="H49" i="4"/>
  <c r="H51" i="4" s="1"/>
  <c r="H36" i="4"/>
  <c r="I41" i="4" s="1"/>
  <c r="I30" i="4" s="1"/>
  <c r="O86" i="3" l="1"/>
  <c r="I29" i="2"/>
  <c r="O89" i="3" l="1"/>
  <c r="I30" i="2"/>
  <c r="I32" i="2" l="1"/>
  <c r="I36" i="2" s="1"/>
  <c r="I6" i="4"/>
  <c r="I24" i="4" s="1"/>
  <c r="O93" i="3" l="1"/>
  <c r="I40" i="2"/>
  <c r="I29" i="4"/>
  <c r="I33" i="4" s="1"/>
  <c r="O97" i="3" l="1"/>
  <c r="O100" i="3"/>
  <c r="I53" i="2"/>
  <c r="I51" i="2"/>
  <c r="I44" i="4"/>
  <c r="I46" i="4" s="1"/>
  <c r="I35" i="4"/>
  <c r="O99" i="3" l="1"/>
  <c r="I42" i="2"/>
  <c r="I43" i="2" s="1"/>
  <c r="I49" i="4"/>
  <c r="I51" i="4" s="1"/>
  <c r="I36" i="4"/>
  <c r="J22" i="3"/>
  <c r="J42" i="3"/>
  <c r="J45" i="3" l="1"/>
  <c r="J25" i="3"/>
  <c r="J23" i="3"/>
  <c r="J43" i="3" l="1"/>
  <c r="J46" i="3"/>
  <c r="J71" i="3" l="1"/>
  <c r="J86" i="3" l="1"/>
  <c r="J89" i="3" l="1"/>
  <c r="J93" i="3" l="1"/>
  <c r="J100" i="3" l="1"/>
  <c r="J97" i="3"/>
</calcChain>
</file>

<file path=xl/sharedStrings.xml><?xml version="1.0" encoding="utf-8"?>
<sst xmlns="http://schemas.openxmlformats.org/spreadsheetml/2006/main" count="1039" uniqueCount="409">
  <si>
    <t>Fast money</t>
  </si>
  <si>
    <t>£m 20/21 prices</t>
  </si>
  <si>
    <t>FM</t>
  </si>
  <si>
    <t>Depreciation</t>
  </si>
  <si>
    <t>Post-vesting pre-RIIO depreciation</t>
  </si>
  <si>
    <t>RIIO-1 depreciation</t>
  </si>
  <si>
    <t>RIIO-2 depreciation</t>
  </si>
  <si>
    <t>Vanilla WACC</t>
  </si>
  <si>
    <t>annual real %</t>
  </si>
  <si>
    <t>Single year discount factor</t>
  </si>
  <si>
    <t>scalar</t>
  </si>
  <si>
    <t>Closing RAV</t>
  </si>
  <si>
    <t>Discounted closing RAV</t>
  </si>
  <si>
    <t>Opening RAV (after transfers)</t>
  </si>
  <si>
    <t>NPV-neutral RAV return base</t>
  </si>
  <si>
    <t>Return</t>
  </si>
  <si>
    <t>DPN</t>
  </si>
  <si>
    <t>RTN</t>
  </si>
  <si>
    <t>PT</t>
  </si>
  <si>
    <t>Licence Fee Payments</t>
  </si>
  <si>
    <t>LFt</t>
  </si>
  <si>
    <t>Prescribed Rates</t>
  </si>
  <si>
    <t>RBt</t>
  </si>
  <si>
    <t>Pass-through Transmission Connection Point Charges</t>
  </si>
  <si>
    <t>TBt</t>
  </si>
  <si>
    <t>Smart Meter Communication Licensee Costs</t>
  </si>
  <si>
    <t>SMCt</t>
  </si>
  <si>
    <t>Smart Meter Information Technology Costs</t>
  </si>
  <si>
    <t>SMITt</t>
  </si>
  <si>
    <t>Ring Fence Costs</t>
  </si>
  <si>
    <t>RFt</t>
  </si>
  <si>
    <t>Supplier of Last Resort Net Costs</t>
  </si>
  <si>
    <t>SLRt</t>
  </si>
  <si>
    <t>Valid Bad Debt Claims</t>
  </si>
  <si>
    <t>IBDAt</t>
  </si>
  <si>
    <t>Pension Scheme Established Deficit repair expenditure</t>
  </si>
  <si>
    <t>EDEt</t>
  </si>
  <si>
    <t>Failed Supplier Recovered Costs</t>
  </si>
  <si>
    <t>SRCt</t>
  </si>
  <si>
    <t>Shetland Variable Energy Costs (SSEH only)</t>
  </si>
  <si>
    <t>SECt</t>
  </si>
  <si>
    <t>Assistance for high-cost distributors adjustment (SSEH only)</t>
  </si>
  <si>
    <t>HBt</t>
  </si>
  <si>
    <t>Pass-through</t>
  </si>
  <si>
    <t>Base Revenue</t>
  </si>
  <si>
    <t>Return Adjustment (note: this row is not active. It will be linked to ReturnAdj for closeout)</t>
  </si>
  <si>
    <t>RTNA</t>
  </si>
  <si>
    <t>Equity issuance costs</t>
  </si>
  <si>
    <t>EIC</t>
  </si>
  <si>
    <t>Business plan incentive</t>
  </si>
  <si>
    <t>BPI</t>
  </si>
  <si>
    <t>Output delivery incentive</t>
  </si>
  <si>
    <t>ODI</t>
  </si>
  <si>
    <t>Other revenue allowances</t>
  </si>
  <si>
    <t>ORA</t>
  </si>
  <si>
    <t>Directly Remunerated Services</t>
  </si>
  <si>
    <t>DRS</t>
  </si>
  <si>
    <t>Calculated revenue (before tax)</t>
  </si>
  <si>
    <t>Tax allowance</t>
  </si>
  <si>
    <t>TAX</t>
  </si>
  <si>
    <t>Tax allowance adjustment</t>
  </si>
  <si>
    <t>TAXA</t>
  </si>
  <si>
    <t>Calculated revenue</t>
  </si>
  <si>
    <t>Real to nominal prices conversion factor (splice index for RIIO-2)</t>
  </si>
  <si>
    <t>Combined RPI-CPIH price index (financial year average) (aka Price Index term)</t>
  </si>
  <si>
    <t>£m nominal</t>
  </si>
  <si>
    <t>Rt x  PIt / PI2020/21</t>
  </si>
  <si>
    <t>Correction term</t>
  </si>
  <si>
    <t>Kt</t>
  </si>
  <si>
    <t>Forecasting penalty</t>
  </si>
  <si>
    <t>FPt</t>
  </si>
  <si>
    <t>Legacy Allowed Revenue</t>
  </si>
  <si>
    <t>LARt</t>
  </si>
  <si>
    <t>Allowed revenue</t>
  </si>
  <si>
    <t>ARt (part C)</t>
  </si>
  <si>
    <t>Recovered Revenue</t>
  </si>
  <si>
    <t>RRt</t>
  </si>
  <si>
    <t>Revenue under/(over) recovery</t>
  </si>
  <si>
    <t xml:space="preserve">Vanilla weighted average cost of capital </t>
  </si>
  <si>
    <t>WACCt</t>
  </si>
  <si>
    <t>Inflation (from year t to t+1)</t>
  </si>
  <si>
    <t>annual %</t>
  </si>
  <si>
    <t>PIt+1/PIt</t>
  </si>
  <si>
    <t>Nominal time value of money</t>
  </si>
  <si>
    <t>annual nominal %</t>
  </si>
  <si>
    <t>TVMt</t>
  </si>
  <si>
    <t>Correction Term</t>
  </si>
  <si>
    <t>Regulatory Year</t>
  </si>
  <si>
    <t>Allowed load related capex</t>
  </si>
  <si>
    <t>Allowed non-load related capex - asset replacement</t>
  </si>
  <si>
    <t>Allowed non-load related capex - other</t>
  </si>
  <si>
    <t>Allowed faults</t>
  </si>
  <si>
    <t>Allowed tree cutting</t>
  </si>
  <si>
    <t>Allowed 100% 'revenue pool' expenditure</t>
  </si>
  <si>
    <t>Allowed controllable opex</t>
  </si>
  <si>
    <t>Total RIIO-2 capitalisation rate allocation 1 allowances</t>
  </si>
  <si>
    <t>Total RIIO-2 capitalisation rate allocation 2 allowances</t>
  </si>
  <si>
    <t>Actual load related capex</t>
  </si>
  <si>
    <t>Actual non-load related capex - asset replacement</t>
  </si>
  <si>
    <t>Actual non-load related capex - other</t>
  </si>
  <si>
    <t>Actual faults</t>
  </si>
  <si>
    <t>Actual tree cutting</t>
  </si>
  <si>
    <t>Actual 100% ‘revenue pool’ expenditure</t>
  </si>
  <si>
    <t>Actual controllable opex</t>
  </si>
  <si>
    <t>Total actual expenditure in capitalisation rate allocation 1</t>
  </si>
  <si>
    <t>Total actual expenditure in capitalisation rate allocation 2</t>
  </si>
  <si>
    <t>Fast Pot Allocation 1</t>
  </si>
  <si>
    <t>Post-TIM totex Allocation 1</t>
  </si>
  <si>
    <t>Post-TIM totex Allocation 2</t>
  </si>
  <si>
    <t>Fast Pot Allocation 2</t>
  </si>
  <si>
    <t>ALC</t>
  </si>
  <si>
    <t>ANCA</t>
  </si>
  <si>
    <t>ANCO</t>
  </si>
  <si>
    <t>AFA</t>
  </si>
  <si>
    <t>ATC</t>
  </si>
  <si>
    <t>ARP</t>
  </si>
  <si>
    <t>ACO</t>
  </si>
  <si>
    <t>ALCU</t>
  </si>
  <si>
    <t>ANCAU</t>
  </si>
  <si>
    <t>ANCOU</t>
  </si>
  <si>
    <t>AFAU</t>
  </si>
  <si>
    <t>ATCU</t>
  </si>
  <si>
    <t>ARPU</t>
  </si>
  <si>
    <t>ACOU</t>
  </si>
  <si>
    <t>Check</t>
  </si>
  <si>
    <t>Time to connect ODI</t>
  </si>
  <si>
    <t>TTCt</t>
  </si>
  <si>
    <t>Broad Measure of Customer Service ODI</t>
  </si>
  <si>
    <t>BMCSt</t>
  </si>
  <si>
    <t>Interruptions incentive scheme ODI</t>
  </si>
  <si>
    <t>IQt</t>
  </si>
  <si>
    <t>Major connections ODI</t>
  </si>
  <si>
    <t>MCt</t>
  </si>
  <si>
    <t>Consumer Vulnerability ODI</t>
  </si>
  <si>
    <t>CVIt</t>
  </si>
  <si>
    <t>Distribution System Operator ODI</t>
  </si>
  <si>
    <t>DSOIt</t>
  </si>
  <si>
    <t>Dig, Fix and Go ODI (ENWL only)</t>
  </si>
  <si>
    <t>DFGt</t>
  </si>
  <si>
    <t>Collaborative Streetworks ODI (EPN, LPN and SPN only)</t>
  </si>
  <si>
    <t>CSWt</t>
  </si>
  <si>
    <t>CDCM Revenue</t>
  </si>
  <si>
    <t>Current Calendar Year</t>
  </si>
  <si>
    <t>Red/black unit charge
p/kWh</t>
  </si>
  <si>
    <t>Amber/yellow unit charge
p/kWh</t>
  </si>
  <si>
    <t>Green unit charge
p/kWh</t>
  </si>
  <si>
    <t>Fixed charge p/MPAN/day</t>
  </si>
  <si>
    <t>Capacity charge p/kVA/day</t>
  </si>
  <si>
    <t>Exceeded capacity charge
p/kVA/day</t>
  </si>
  <si>
    <t>Reactive power charge
p/kVArh</t>
  </si>
  <si>
    <t>Tariff name</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</si>
  <si>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</si>
  <si>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</si>
  <si>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</si>
  <si>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</si>
  <si>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</si>
  <si>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</si>
  <si>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</si>
  <si>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</si>
  <si>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</si>
  <si>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</si>
  <si>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</si>
  <si>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</si>
  <si>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</si>
  <si>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Unmetered Supplies</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</si>
  <si>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</si>
  <si>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</si>
  <si>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</si>
  <si>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</si>
  <si>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</si>
  <si>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</si>
  <si>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</si>
  <si>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</si>
  <si>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Description</t>
  </si>
  <si>
    <t>Possible Changes To Calculated Revenue</t>
  </si>
  <si>
    <t>Allowed Revenue Used In CDCM Model</t>
  </si>
  <si>
    <t>Inflation Parameters</t>
  </si>
  <si>
    <t>% Change</t>
  </si>
  <si>
    <t>Recovered Revenue Parameters</t>
  </si>
  <si>
    <t>H</t>
  </si>
  <si>
    <t>F</t>
  </si>
  <si>
    <t>K</t>
  </si>
  <si>
    <t>A = FM + DPN + RTN + PT</t>
  </si>
  <si>
    <t>B = A + RTNA + EIC + BPI + ODI + ORA + DRS</t>
  </si>
  <si>
    <t>PI</t>
  </si>
  <si>
    <t xml:space="preserve">PI </t>
  </si>
  <si>
    <t>FP</t>
  </si>
  <si>
    <t>LAR</t>
  </si>
  <si>
    <t>AR = C + K + FP + LAR</t>
  </si>
  <si>
    <t>Rt</t>
  </si>
  <si>
    <t>R = B + TAX + TAXA</t>
  </si>
  <si>
    <t>RR</t>
  </si>
  <si>
    <t>D = AR - RR</t>
  </si>
  <si>
    <t>WACC</t>
  </si>
  <si>
    <t>K = D + (1 + TVM)</t>
  </si>
  <si>
    <t>FM1_A1</t>
  </si>
  <si>
    <t>FM1_A2</t>
  </si>
  <si>
    <t>FM1_A3</t>
  </si>
  <si>
    <t>FM1_A4</t>
  </si>
  <si>
    <t>FM1_A5</t>
  </si>
  <si>
    <t>FM1_A6</t>
  </si>
  <si>
    <t>FM1_A7</t>
  </si>
  <si>
    <t>FM1_B1</t>
  </si>
  <si>
    <t>FM1_B2</t>
  </si>
  <si>
    <t>FM1_B3</t>
  </si>
  <si>
    <t>FM1_B4</t>
  </si>
  <si>
    <t>FM1_B5</t>
  </si>
  <si>
    <t>FM1_B6</t>
  </si>
  <si>
    <t>FM1_B7</t>
  </si>
  <si>
    <t>FM2_A1</t>
  </si>
  <si>
    <t>FM2_A2</t>
  </si>
  <si>
    <t>FM2_A3</t>
  </si>
  <si>
    <t>FM2_A4</t>
  </si>
  <si>
    <t>FM2_A5</t>
  </si>
  <si>
    <t>FM2_A6</t>
  </si>
  <si>
    <t>FM2_A7</t>
  </si>
  <si>
    <t>FM2_B1</t>
  </si>
  <si>
    <t>FM2_B2</t>
  </si>
  <si>
    <t>FM2_B3</t>
  </si>
  <si>
    <t>FM2_B4</t>
  </si>
  <si>
    <t>FM2_B5</t>
  </si>
  <si>
    <t>FM2_B6</t>
  </si>
  <si>
    <t>FM2_B7</t>
  </si>
  <si>
    <t>FM = FM1 + FM2</t>
  </si>
  <si>
    <t>DPN1</t>
  </si>
  <si>
    <t>DPN2</t>
  </si>
  <si>
    <t>DPN3</t>
  </si>
  <si>
    <t>DPN = DPN1 + DPN2 + DPN3</t>
  </si>
  <si>
    <t>RTN1</t>
  </si>
  <si>
    <t>RTN2</t>
  </si>
  <si>
    <t>RTN3</t>
  </si>
  <si>
    <t>RTN4</t>
  </si>
  <si>
    <t>RTN5</t>
  </si>
  <si>
    <t>RTN6</t>
  </si>
  <si>
    <t>PT1</t>
  </si>
  <si>
    <t>PT2</t>
  </si>
  <si>
    <t>PT3</t>
  </si>
  <si>
    <t>PT4</t>
  </si>
  <si>
    <t>PT5</t>
  </si>
  <si>
    <t>PT6</t>
  </si>
  <si>
    <t>PT7</t>
  </si>
  <si>
    <t>PT8</t>
  </si>
  <si>
    <t>PT9</t>
  </si>
  <si>
    <t>PT10</t>
  </si>
  <si>
    <t>PT11</t>
  </si>
  <si>
    <t>PT12</t>
  </si>
  <si>
    <t>ODI1</t>
  </si>
  <si>
    <t>ODI2</t>
  </si>
  <si>
    <t>ODI3</t>
  </si>
  <si>
    <t>ODI4</t>
  </si>
  <si>
    <t>ODI5</t>
  </si>
  <si>
    <t>ODI6</t>
  </si>
  <si>
    <t>ODI7</t>
  </si>
  <si>
    <t>ODI8</t>
  </si>
  <si>
    <t>%</t>
  </si>
  <si>
    <t>RIIO-2 allocation 1 Capitalisation rate</t>
  </si>
  <si>
    <t>RIIO-2 allocation 2 Capitalisation rate</t>
  </si>
  <si>
    <t>CR1</t>
  </si>
  <si>
    <t>CR2</t>
  </si>
  <si>
    <t>FM1 = (1 - CR1) x FM1.1</t>
  </si>
  <si>
    <t>FM2 = (1 - CR2) x FM2.1</t>
  </si>
  <si>
    <t>Combined RPI-CPIH price index (financial year average) (aka Price Index term) PIt</t>
  </si>
  <si>
    <t>TVM = (1 + WACC) x (1 + E) - 1</t>
  </si>
  <si>
    <t>G = AR - F</t>
  </si>
  <si>
    <t>E = PIt+1/PIt</t>
  </si>
  <si>
    <r>
      <t>E = PI</t>
    </r>
    <r>
      <rPr>
        <vertAlign val="subscript"/>
        <sz val="8.25"/>
        <color theme="1"/>
        <rFont val="Calibri"/>
        <family val="2"/>
      </rPr>
      <t>t+1</t>
    </r>
    <r>
      <rPr>
        <sz val="11"/>
        <color theme="1"/>
        <rFont val="Calibri"/>
        <family val="2"/>
        <scheme val="minor"/>
      </rPr>
      <t>/PI</t>
    </r>
    <r>
      <rPr>
        <vertAlign val="subscript"/>
        <sz val="11"/>
        <color theme="1"/>
        <rFont val="Calibri"/>
        <family val="2"/>
        <scheme val="minor"/>
      </rPr>
      <t>t</t>
    </r>
  </si>
  <si>
    <r>
      <t>PI</t>
    </r>
    <r>
      <rPr>
        <vertAlign val="subscript"/>
        <sz val="8.25"/>
        <color theme="1"/>
        <rFont val="Calibri"/>
        <family val="2"/>
      </rPr>
      <t>t</t>
    </r>
    <r>
      <rPr>
        <sz val="11"/>
        <color theme="1"/>
        <rFont val="Calibri"/>
        <family val="2"/>
        <scheme val="minor"/>
      </rPr>
      <t>/PI</t>
    </r>
    <r>
      <rPr>
        <vertAlign val="subscript"/>
        <sz val="11"/>
        <color theme="1"/>
        <rFont val="Calibri"/>
        <family val="2"/>
        <scheme val="minor"/>
      </rPr>
      <t>2020/21</t>
    </r>
  </si>
  <si>
    <t>FM1_A = FM1_A1 + FM1_A2 + FM1_A3 + FM1_A4 + FM1_A5 + FM1_A6 + FM1_A7</t>
  </si>
  <si>
    <t>FM1_B = FM1_B1 + FM1_B2 + FM1_B3 + FM1_B4 + FM1_B5 + FM1_B6 + FM1_B7</t>
  </si>
  <si>
    <t>FM2_A = FM2_A1 + FM2_A2 + FM2_A3 + FM2_A4 + FM2_A5 + FM2_A6 + FM2_A7</t>
  </si>
  <si>
    <t>FM2_B = FM2_B1 + FM2_B2 + FM2_B3 + FM2_B4 + FM2_B5 + FM2_B6 + FM2_B7</t>
  </si>
  <si>
    <t>RTN = RTN1 + RTN2 + RTN3 + RTN4 + RTN5 + RTN6</t>
  </si>
  <si>
    <t>ODI = ODI1 + ODI2 + ODI3 + ODI4 + ODI5 + ODI6 + ODI7 + ODI8</t>
  </si>
  <si>
    <r>
      <t>PI</t>
    </r>
    <r>
      <rPr>
        <vertAlign val="subscript"/>
        <sz val="7.5"/>
        <color theme="1"/>
        <rFont val="Calibri"/>
        <family val="2"/>
      </rPr>
      <t>t</t>
    </r>
    <r>
      <rPr>
        <sz val="11"/>
        <color theme="1"/>
        <rFont val="Calibri"/>
        <family val="2"/>
        <scheme val="minor"/>
      </rPr>
      <t xml:space="preserve"> / PI</t>
    </r>
    <r>
      <rPr>
        <vertAlign val="subscript"/>
        <sz val="11"/>
        <color theme="1"/>
        <rFont val="Calibri"/>
        <family val="2"/>
        <scheme val="minor"/>
      </rPr>
      <t>2020-21</t>
    </r>
  </si>
  <si>
    <t>PTt</t>
  </si>
  <si>
    <t>RTNAt</t>
  </si>
  <si>
    <t>EICt</t>
  </si>
  <si>
    <t>BPIt</t>
  </si>
  <si>
    <t>ODIt</t>
  </si>
  <si>
    <t>ORAt</t>
  </si>
  <si>
    <t>DRSt</t>
  </si>
  <si>
    <t>TAXt</t>
  </si>
  <si>
    <t>TAXAt</t>
  </si>
  <si>
    <t>FMt</t>
  </si>
  <si>
    <t>DPNt</t>
  </si>
  <si>
    <t>RTNt</t>
  </si>
  <si>
    <t>ALCt</t>
  </si>
  <si>
    <t>ANCAt</t>
  </si>
  <si>
    <t>ANCOt</t>
  </si>
  <si>
    <t>AFAt</t>
  </si>
  <si>
    <t>ATCt</t>
  </si>
  <si>
    <t>ARPt</t>
  </si>
  <si>
    <t>ACOt</t>
  </si>
  <si>
    <t>ALCUt</t>
  </si>
  <si>
    <t>ANCAUt</t>
  </si>
  <si>
    <t>ANCOUt</t>
  </si>
  <si>
    <t>AFAUt</t>
  </si>
  <si>
    <t>ATCUt</t>
  </si>
  <si>
    <t>ARPUt</t>
  </si>
  <si>
    <t>ACOUt</t>
  </si>
  <si>
    <t>Formula Description</t>
  </si>
  <si>
    <t>RIIO-2 Funding Adjustment Rate (often referred to as 'sharing factor')</t>
  </si>
  <si>
    <t>SF</t>
  </si>
  <si>
    <t>FM1.1 = (FM1_B - FM1_A) x SF + FM1_A     if FM1_B &gt; 0
FM1.1 = FM1_A                         otherwise</t>
  </si>
  <si>
    <t>FM2.1 = (FM2_B - FM2_A) x SF + FM2_A     if FM2_B &gt; 0
FM2.1 = FM2_A                         otherwise</t>
  </si>
  <si>
    <t>Company Name:</t>
  </si>
  <si>
    <t>Date:</t>
  </si>
  <si>
    <t>Title:</t>
  </si>
  <si>
    <t>Year t:</t>
  </si>
  <si>
    <t>DCUSA Schedule 15 - Table 1 - Detailed information</t>
  </si>
  <si>
    <t>PT = PT1 + PT2 + PT3 + PT4 + PT5 + PT6 + PT7 + PT8 + PT9 - PT10 + PT11 - PT12</t>
  </si>
  <si>
    <t>DCUSA Schedule 15 - Table 1 - CDCM Input</t>
  </si>
  <si>
    <t>t</t>
  </si>
  <si>
    <t>t-1</t>
  </si>
  <si>
    <t>t+1</t>
  </si>
  <si>
    <t>t+2</t>
  </si>
  <si>
    <t>t+3</t>
  </si>
  <si>
    <t>t+4</t>
  </si>
  <si>
    <t>Delta to Previous</t>
  </si>
  <si>
    <t>Variance Commentary</t>
  </si>
  <si>
    <t>Table 1 - Delta from Previous</t>
  </si>
  <si>
    <t>Previous Forecast</t>
  </si>
  <si>
    <t>Forecast Calculated Revenue from Table 1</t>
  </si>
  <si>
    <t>DCUSA Schedule 15 - Table 2 - Sensitivities</t>
  </si>
  <si>
    <t>Calculated Revenue including Possible Changes Above</t>
  </si>
  <si>
    <t>Calculated Revenue Including Possible Changes</t>
  </si>
  <si>
    <t>Allowed Revenue Including Possible Changes</t>
  </si>
  <si>
    <t>DCUSA Schedule 15 - Table 3 - Illustrative Prices</t>
  </si>
  <si>
    <t>Model version</t>
  </si>
  <si>
    <t>Version log</t>
  </si>
  <si>
    <t>Description of changes</t>
  </si>
  <si>
    <t>Template date:</t>
  </si>
  <si>
    <t>Template number:</t>
  </si>
  <si>
    <t>Template date</t>
  </si>
  <si>
    <t>Template number</t>
  </si>
  <si>
    <t>Template setup as part of DCP421 solution to align to RIIO-ED2 licence conditions.</t>
  </si>
  <si>
    <r>
      <t>PI</t>
    </r>
    <r>
      <rPr>
        <b/>
        <vertAlign val="subscript"/>
        <sz val="7.5"/>
        <color theme="1"/>
        <rFont val="Calibri"/>
        <family val="2"/>
      </rPr>
      <t>t</t>
    </r>
    <r>
      <rPr>
        <b/>
        <sz val="11"/>
        <color theme="1"/>
        <rFont val="Calibri"/>
        <family val="2"/>
        <scheme val="minor"/>
      </rPr>
      <t xml:space="preserve"> / PI</t>
    </r>
    <r>
      <rPr>
        <b/>
        <vertAlign val="subscript"/>
        <sz val="11"/>
        <color theme="1"/>
        <rFont val="Calibri"/>
        <family val="2"/>
        <scheme val="minor"/>
      </rPr>
      <t>2020-21</t>
    </r>
  </si>
  <si>
    <t>PIt</t>
  </si>
  <si>
    <t>Sheet</t>
  </si>
  <si>
    <t>Cells</t>
  </si>
  <si>
    <t>Instructions</t>
  </si>
  <si>
    <t>Cover</t>
  </si>
  <si>
    <t>DNO</t>
  </si>
  <si>
    <t>Input DNO name</t>
  </si>
  <si>
    <t>Input date of Cost Information submission</t>
  </si>
  <si>
    <t>C5</t>
  </si>
  <si>
    <t>C4</t>
  </si>
  <si>
    <t>Party</t>
  </si>
  <si>
    <t>Table 1 - Detailed</t>
  </si>
  <si>
    <t>Columns D:I</t>
  </si>
  <si>
    <t>Table 1 - CDCM Input</t>
  </si>
  <si>
    <t>Links to equivalent rows in 'Table 1 - Detailed'</t>
  </si>
  <si>
    <t>Table 2 - Sensitivities</t>
  </si>
  <si>
    <t>A9:I18</t>
  </si>
  <si>
    <t>DNO/Suppliers</t>
  </si>
  <si>
    <t>E39:I39</t>
  </si>
  <si>
    <t>Enter % change in recovered revenue to see the impact of this change on prior year correction and recovered revenue in subsequent years.</t>
  </si>
  <si>
    <t>Enter % change in inflation to see the impact of this change on allowed revenue in the year and on prior year correction and allowed revenue in subsequent years.</t>
  </si>
  <si>
    <t>E44:I44</t>
  </si>
  <si>
    <t>Cost Information Template</t>
  </si>
  <si>
    <t>As required under Schedule 15 of the DCUSA</t>
  </si>
  <si>
    <t>Key</t>
  </si>
  <si>
    <t>Format</t>
  </si>
  <si>
    <t>Cell intentionally blank</t>
  </si>
  <si>
    <t>Value</t>
  </si>
  <si>
    <t>User input</t>
  </si>
  <si>
    <t>Calculation</t>
  </si>
  <si>
    <t>Value from another worksheet</t>
  </si>
  <si>
    <t>Text</t>
  </si>
  <si>
    <t>Annotation</t>
  </si>
  <si>
    <t>Column heading</t>
  </si>
  <si>
    <t>Sheet tab colour</t>
  </si>
  <si>
    <t>Information sheet</t>
  </si>
  <si>
    <t>Table sheet</t>
  </si>
  <si>
    <t>Table 1 row 89</t>
  </si>
  <si>
    <t>DNO Inputs</t>
  </si>
  <si>
    <t>Table 1 row 90</t>
  </si>
  <si>
    <t>Table 1 row 91</t>
  </si>
  <si>
    <t>Table 1 row 95</t>
  </si>
  <si>
    <t>Table 1 row 96</t>
  </si>
  <si>
    <t>Tariffs set for year</t>
  </si>
  <si>
    <t>Y</t>
  </si>
  <si>
    <t>N</t>
  </si>
  <si>
    <t>If tariffs are set then value from Table 1, otherwise value will scale to Allowed Revenue in row above</t>
  </si>
  <si>
    <t>Table 1 - Delta From Previous</t>
  </si>
  <si>
    <t>Link to previous Cost Information forecast.
When incrementing by one year for the first forecast of each reg year, the final column (t+4) will be blank, as no previous forecast was prepared for this year.</t>
  </si>
  <si>
    <t>Link detailed allowed revenue from the latest PCFM or equivalent forecast.</t>
  </si>
  <si>
    <t>Recovered Revenue Including Possible Changes</t>
  </si>
  <si>
    <t>Revenue under/(over) recovery Including Possible Changes</t>
  </si>
  <si>
    <t>Correction Term Including Possible Changes</t>
  </si>
  <si>
    <t>Allowed Revenue Including Possible Changes and Inflation Parameters</t>
  </si>
  <si>
    <t>New Allowed Revenue inc Inflation Parameters</t>
  </si>
  <si>
    <t>Recovered Revenue including Possible Changes and Recovered Revenue Parameters</t>
  </si>
  <si>
    <t>New Recovered Revenue inc Recovered Revenue Parameters</t>
  </si>
  <si>
    <r>
      <t>C = R x PI</t>
    </r>
    <r>
      <rPr>
        <b/>
        <vertAlign val="subscript"/>
        <sz val="11"/>
        <color theme="1"/>
        <rFont val="Calibri"/>
        <family val="2"/>
        <scheme val="minor"/>
      </rPr>
      <t>t</t>
    </r>
    <r>
      <rPr>
        <b/>
        <sz val="11"/>
        <color theme="1"/>
        <rFont val="Calibri"/>
        <family val="2"/>
        <scheme val="minor"/>
      </rPr>
      <t xml:space="preserve"> / PI</t>
    </r>
    <r>
      <rPr>
        <b/>
        <vertAlign val="subscript"/>
        <sz val="8.25"/>
        <color theme="1"/>
        <rFont val="Calibri"/>
        <family val="2"/>
      </rPr>
      <t>2020/21</t>
    </r>
  </si>
  <si>
    <r>
      <t>C = R x Pit / PI</t>
    </r>
    <r>
      <rPr>
        <b/>
        <vertAlign val="subscript"/>
        <sz val="8.25"/>
        <color theme="1"/>
        <rFont val="Calibri"/>
        <family val="2"/>
      </rPr>
      <t>2020/21</t>
    </r>
  </si>
  <si>
    <t>Post-TIM totex Allocation</t>
  </si>
  <si>
    <t>Allowed Totex Total</t>
  </si>
  <si>
    <t>Actual Totex Total</t>
  </si>
  <si>
    <t>Total</t>
  </si>
  <si>
    <t>Component</t>
  </si>
  <si>
    <t>Subcomponent</t>
  </si>
  <si>
    <t>Allowed Totex Component</t>
  </si>
  <si>
    <t>Actual Totex Component</t>
  </si>
  <si>
    <t>Total- Potential Change in Calculated Revenue</t>
  </si>
  <si>
    <t>EDCM &amp; Certain Interconnector Revenue</t>
  </si>
  <si>
    <t>PLEASE NOTE THAT THESE ARE ILLUSTRATIVE TARIFFS ONLY AND ARE NOT TO BE CONSIDERED TO REPRESENT THE FINAL TARIFFS WHICH WILL BE APPLIED BY THIS COMPANY</t>
  </si>
  <si>
    <t>Enter sensitivities for any known potential updates to the Calculated Revenue (e.g. reopeners), which have not been included in the values in Table 1. 
May be left blank if no potential updates are known.
Enter a description of the potential change in column A and the potential change in calculated revenue (in 2020/21 prices) in columns E:I.</t>
  </si>
  <si>
    <t>NGED South Wales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</si>
</sst>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0.0_);\(#,##0.0\);\-_)"/>
    <numFmt numFmtId="165" formatCode="_-* #,##0.0_-;\-* #,##0.0_-;_-* &quot;-&quot;??_-;_-@_-"/>
    <numFmt numFmtId="166" formatCode="_-* #,##0.000_-;\-* #,##0.000_-;_-* &quot;-&quot;??_-;_-@_-"/>
    <numFmt numFmtId="167" formatCode="_-* #,##0.0_-;\-* #,##0.0_-;_-* &quot;-&quot;?_-;_-@_-"/>
    <numFmt numFmtId="168" formatCode="0.000;\-0.000;;@\,"/>
    <numFmt numFmtId="169" formatCode="0.00;\-0.00;;@\,"/>
    <numFmt numFmtId="170" formatCode="0.0"/>
    <numFmt numFmtId="171" formatCode="0.0%"/>
    <numFmt numFmtId="172" formatCode="#,##0.0;[Red]\(#,##0.0\);\-"/>
    <numFmt numFmtId="173" formatCode="[$-F800]dddd\,\ mmmm\ dd\,\ yyyy"/>
    <numFmt numFmtId="174" formatCode="0.000;\-0.000;;@"/>
  </numFmts>
  <fonts count="3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Gill Sans MT"/>
      <family val="2"/>
    </font>
    <font>
      <sz val="10"/>
      <color theme="1"/>
      <name val="Gill Sans MT"/>
      <family val="2"/>
    </font>
    <font>
      <b/>
      <sz val="11"/>
      <color rgb="FFFF0000"/>
      <name val="Calibri"/>
      <family val="2"/>
      <scheme val="minor"/>
    </font>
    <font>
      <sz val="10"/>
      <name val="Arial"/>
      <family val="2"/>
    </font>
    <font>
      <b/>
      <sz val="10"/>
      <name val="Arial"/>
      <family val="2"/>
    </font>
    <font>
      <b/>
      <sz val="11"/>
      <color theme="0"/>
      <name val="Arial"/>
      <family val="2"/>
    </font>
    <font>
      <b/>
      <sz val="11"/>
      <name val="Arial"/>
      <family val="2"/>
    </font>
    <font>
      <sz val="8"/>
      <name val="Calibri"/>
      <family val="2"/>
      <scheme val="minor"/>
    </font>
    <font>
      <vertAlign val="subscript"/>
      <sz val="7.5"/>
      <color theme="1"/>
      <name val="Calibri"/>
      <family val="2"/>
    </font>
    <font>
      <vertAlign val="subscript"/>
      <sz val="11"/>
      <color theme="1"/>
      <name val="Calibri"/>
      <family val="2"/>
      <scheme val="minor"/>
    </font>
    <font>
      <vertAlign val="subscript"/>
      <sz val="8.25"/>
      <color theme="1"/>
      <name val="Calibri"/>
      <family val="2"/>
    </font>
    <font>
      <sz val="11"/>
      <name val="Calibri"/>
      <family val="2"/>
      <scheme val="minor"/>
    </font>
    <font>
      <u/>
      <sz val="11"/>
      <color theme="5"/>
      <name val="Calibri"/>
      <family val="2"/>
      <scheme val="minor"/>
    </font>
    <font>
      <sz val="11"/>
      <color rgb="FFD46112"/>
      <name val="Calibri"/>
      <family val="2"/>
      <scheme val="minor"/>
    </font>
    <font>
      <b/>
      <vertAlign val="subscript"/>
      <sz val="7.5"/>
      <color theme="1"/>
      <name val="Calibri"/>
      <family val="2"/>
    </font>
    <font>
      <b/>
      <vertAlign val="subscript"/>
      <sz val="11"/>
      <color theme="1"/>
      <name val="Calibri"/>
      <family val="2"/>
      <scheme val="minor"/>
    </font>
    <font>
      <b/>
      <sz val="11"/>
      <name val="Calibri"/>
      <family val="2"/>
      <scheme val="minor"/>
    </font>
    <font>
      <b/>
      <sz val="11"/>
      <color indexed="8"/>
      <name val="Calibri"/>
      <family val="2"/>
      <scheme val="minor"/>
    </font>
    <font>
      <b/>
      <sz val="11"/>
      <color theme="4"/>
      <name val="Calibri"/>
      <family val="2"/>
      <scheme val="minor"/>
    </font>
    <font>
      <i/>
      <sz val="11"/>
      <color rgb="FF333F4F"/>
      <name val="Calibri"/>
      <family val="2"/>
      <scheme val="minor"/>
    </font>
    <font>
      <i/>
      <sz val="11"/>
      <color theme="1"/>
      <name val="Calibri"/>
      <family val="2"/>
      <scheme val="minor"/>
    </font>
    <font>
      <sz val="11"/>
      <color theme="4"/>
      <name val="Calibri"/>
      <family val="2"/>
      <scheme val="minor"/>
    </font>
    <font>
      <b/>
      <vertAlign val="subscript"/>
      <sz val="8.25"/>
      <color theme="1"/>
      <name val="Calibri"/>
      <family val="2"/>
    </font>
    <font>
      <sz val="10"/>
      <color theme="1"/>
      <name val="Arial"/>
      <family val="2"/>
    </font>
    <font>
      <b/>
      <sz val="11"/>
      <color theme="3"/>
      <name val="Arial"/>
      <family val="2"/>
    </font>
    <font>
      <sz val="9"/>
      <color rgb="FF3F3F76"/>
      <name val="Arial"/>
      <family val="2"/>
    </font>
    <font>
      <u/>
      <sz val="10"/>
      <color theme="10"/>
      <name val="Arial"/>
      <family val="2"/>
    </font>
    <font>
      <b/>
      <sz val="13"/>
      <color theme="3"/>
      <name val="Arial"/>
      <family val="2"/>
    </font>
    <font>
      <sz val="10"/>
      <color theme="0"/>
      <name val="Arial"/>
      <family val="2"/>
    </font>
    <font>
      <sz val="10"/>
      <color rgb="FF9C6500"/>
      <name val="Arial"/>
      <family val="2"/>
    </font>
    <font>
      <sz val="11"/>
      <color rgb="FFFF0000"/>
      <name val="Calibri"/>
      <family val="2"/>
      <scheme val="minor"/>
    </font>
  </fonts>
  <fills count="33">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indexed="47"/>
        <bgColor indexed="64"/>
      </patternFill>
    </fill>
    <fill>
      <patternFill patternType="solid">
        <fgColor rgb="FFFF0000"/>
        <bgColor indexed="64"/>
      </patternFill>
    </fill>
    <fill>
      <patternFill patternType="solid">
        <fgColor rgb="FFFFC000"/>
        <bgColor indexed="64"/>
      </patternFill>
    </fill>
    <fill>
      <patternFill patternType="solid">
        <fgColor theme="1"/>
        <bgColor indexed="64"/>
      </patternFill>
    </fill>
    <fill>
      <patternFill patternType="solid">
        <fgColor rgb="FFFFFF00"/>
        <bgColor indexed="64"/>
      </patternFill>
    </fill>
    <fill>
      <patternFill patternType="solid">
        <fgColor rgb="FF275792"/>
        <bgColor indexed="64"/>
      </patternFill>
    </fill>
    <fill>
      <patternFill patternType="solid">
        <fgColor rgb="FF4B86CD"/>
        <bgColor indexed="64"/>
      </patternFill>
    </fill>
    <fill>
      <patternFill patternType="solid">
        <fgColor rgb="FFFFFFCC"/>
        <bgColor indexed="64"/>
      </patternFill>
    </fill>
    <fill>
      <patternFill patternType="lightUp">
        <fgColor theme="0" tint="-0.499984740745262"/>
        <bgColor rgb="FFFFFFFF"/>
      </patternFill>
    </fill>
    <fill>
      <patternFill patternType="solid">
        <fgColor rgb="FFFF9999"/>
        <bgColor indexed="64"/>
      </patternFill>
    </fill>
    <fill>
      <patternFill patternType="solid">
        <fgColor rgb="FFB4C6E7"/>
        <bgColor indexed="64"/>
      </patternFill>
    </fill>
    <fill>
      <patternFill patternType="solid">
        <fgColor theme="6" tint="0.39997558519241921"/>
        <bgColor indexed="64"/>
      </patternFill>
    </fill>
    <fill>
      <patternFill patternType="solid">
        <fgColor rgb="FFFFEB9C"/>
      </patternFill>
    </fill>
    <fill>
      <patternFill patternType="solid">
        <fgColor rgb="FFFFCC99"/>
      </patternFill>
    </fill>
    <fill>
      <patternFill patternType="solid">
        <fgColor theme="4"/>
      </patternFill>
    </fill>
    <fill>
      <patternFill patternType="solid">
        <fgColor theme="4" tint="0.59999389629810485"/>
        <bgColor indexed="65"/>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s>
  <borders count="8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rgb="FF999999"/>
      </left>
      <right/>
      <top/>
      <bottom/>
      <diagonal/>
    </border>
    <border>
      <left/>
      <right/>
      <top style="thin">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thin">
        <color indexed="64"/>
      </bottom>
      <diagonal/>
    </border>
    <border>
      <left/>
      <right/>
      <top/>
      <bottom style="thin">
        <color indexed="64"/>
      </bottom>
      <diagonal/>
    </border>
    <border>
      <left/>
      <right style="medium">
        <color indexed="64"/>
      </right>
      <top style="medium">
        <color indexed="64"/>
      </top>
      <bottom style="dashed">
        <color indexed="64"/>
      </bottom>
      <diagonal/>
    </border>
  </borders>
  <cellStyleXfs count="36">
    <xf numFmtId="0" fontId="0" fillId="0" borderId="0"/>
    <xf numFmtId="43" fontId="1" fillId="0" borderId="0" applyFont="0" applyFill="0" applyBorder="0" applyAlignment="0" applyProtection="0"/>
    <xf numFmtId="9" fontId="1" fillId="0" borderId="0" applyFont="0" applyFill="0" applyBorder="0" applyAlignment="0" applyProtection="0"/>
    <xf numFmtId="164" fontId="4" fillId="3" borderId="0"/>
    <xf numFmtId="164" fontId="5" fillId="4" borderId="0"/>
    <xf numFmtId="0" fontId="7" fillId="0" borderId="0"/>
    <xf numFmtId="0" fontId="2" fillId="18" borderId="0" applyNumberFormat="0" applyBorder="0" applyAlignment="0"/>
    <xf numFmtId="0" fontId="16" fillId="0" borderId="49" applyNumberFormat="0" applyBorder="0" applyAlignment="0"/>
    <xf numFmtId="49" fontId="2" fillId="19" borderId="0" applyNumberFormat="0" applyBorder="0" applyAlignment="0">
      <alignment horizontal="left" vertical="center" wrapText="1"/>
    </xf>
    <xf numFmtId="0" fontId="15" fillId="20" borderId="0" applyNumberFormat="0" applyBorder="0" applyAlignment="0">
      <protection locked="0"/>
    </xf>
    <xf numFmtId="174" fontId="15" fillId="21" borderId="0" applyNumberFormat="0" applyBorder="0">
      <alignment vertical="top"/>
    </xf>
    <xf numFmtId="0" fontId="1" fillId="22" borderId="0" applyNumberFormat="0" applyBorder="0" applyAlignment="0" applyProtection="0">
      <alignment horizontal="center"/>
    </xf>
    <xf numFmtId="3" fontId="15" fillId="0" borderId="0" applyNumberFormat="0" applyBorder="0" applyAlignment="0">
      <alignment horizontal="right" vertical="top"/>
    </xf>
    <xf numFmtId="9" fontId="22" fillId="0" borderId="0" applyNumberFormat="0" applyBorder="0"/>
    <xf numFmtId="0" fontId="1" fillId="0" borderId="0" applyNumberFormat="0" applyBorder="0" applyAlignment="0"/>
    <xf numFmtId="0" fontId="23" fillId="0" borderId="0"/>
    <xf numFmtId="0" fontId="20" fillId="23" borderId="0" applyBorder="0" applyAlignment="0"/>
    <xf numFmtId="0" fontId="3" fillId="0" borderId="0" applyNumberFormat="0" applyBorder="0" applyAlignment="0"/>
    <xf numFmtId="0" fontId="28" fillId="0" borderId="0" applyNumberFormat="0" applyFill="0" applyBorder="0" applyAlignment="0" applyProtection="0"/>
    <xf numFmtId="0" fontId="29" fillId="26" borderId="61" applyNumberFormat="0" applyAlignment="0" applyProtection="0"/>
    <xf numFmtId="0" fontId="30" fillId="0" borderId="0" applyNumberFormat="0" applyFill="0" applyBorder="0" applyAlignment="0" applyProtection="0">
      <alignment vertical="top"/>
      <protection locked="0"/>
    </xf>
    <xf numFmtId="0" fontId="31" fillId="0" borderId="59" applyNumberFormat="0" applyFill="0" applyAlignment="0" applyProtection="0"/>
    <xf numFmtId="0" fontId="28" fillId="0" borderId="60" applyNumberFormat="0" applyFill="0" applyAlignment="0" applyProtection="0"/>
    <xf numFmtId="43" fontId="7" fillId="0" borderId="0" applyFont="0" applyFill="0" applyBorder="0" applyAlignment="0" applyProtection="0"/>
    <xf numFmtId="0" fontId="32" fillId="27"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2" borderId="0" applyNumberFormat="0" applyBorder="0" applyAlignment="0" applyProtection="0"/>
    <xf numFmtId="0" fontId="1" fillId="0" borderId="0"/>
    <xf numFmtId="0" fontId="33" fillId="25" borderId="0" applyNumberFormat="0" applyBorder="0" applyAlignment="0" applyProtection="0"/>
    <xf numFmtId="0" fontId="27" fillId="28" borderId="0" applyNumberFormat="0" applyBorder="0" applyAlignment="0" applyProtection="0"/>
    <xf numFmtId="0" fontId="27" fillId="31" borderId="0" applyNumberFormat="0" applyBorder="0" applyAlignment="0" applyProtection="0"/>
    <xf numFmtId="0" fontId="33" fillId="25" borderId="0" applyNumberFormat="0" applyBorder="0" applyAlignment="0" applyProtection="0"/>
    <xf numFmtId="0" fontId="1" fillId="0" borderId="0"/>
    <xf numFmtId="43" fontId="7" fillId="0" borderId="0" applyFont="0" applyFill="0" applyBorder="0" applyAlignment="0" applyProtection="0"/>
    <xf numFmtId="0" fontId="1" fillId="0" borderId="0"/>
  </cellStyleXfs>
  <cellXfs count="522">
    <xf numFmtId="0" fontId="0" fillId="0" borderId="0" xfId="0"/>
    <xf numFmtId="0" fontId="3" fillId="6" borderId="2" xfId="0" applyFont="1" applyFill="1" applyBorder="1"/>
    <xf numFmtId="0" fontId="0" fillId="0" borderId="7" xfId="0" applyBorder="1"/>
    <xf numFmtId="0" fontId="0" fillId="0" borderId="13" xfId="0" applyBorder="1"/>
    <xf numFmtId="0" fontId="8" fillId="13" borderId="1" xfId="0" applyFont="1" applyFill="1" applyBorder="1" applyAlignment="1" applyProtection="1">
      <alignment vertical="center" wrapText="1"/>
      <protection locked="0"/>
    </xf>
    <xf numFmtId="0" fontId="3" fillId="6" borderId="2" xfId="0" applyFont="1" applyFill="1" applyBorder="1" applyAlignment="1">
      <alignment vertical="center"/>
    </xf>
    <xf numFmtId="0" fontId="0" fillId="0" borderId="13" xfId="0" applyBorder="1" applyAlignment="1">
      <alignment vertical="center"/>
    </xf>
    <xf numFmtId="0" fontId="0" fillId="0" borderId="0" xfId="0" applyAlignment="1">
      <alignment vertical="center"/>
    </xf>
    <xf numFmtId="0" fontId="0" fillId="0" borderId="2" xfId="0" applyBorder="1" applyAlignment="1">
      <alignment horizontal="left" indent="1"/>
    </xf>
    <xf numFmtId="0" fontId="3" fillId="5" borderId="1" xfId="0" applyFont="1" applyFill="1" applyBorder="1" applyAlignment="1">
      <alignment horizontal="center" vertical="center"/>
    </xf>
    <xf numFmtId="0" fontId="0" fillId="0" borderId="1" xfId="0" applyBorder="1" applyAlignment="1">
      <alignment horizontal="center" vertical="center"/>
    </xf>
    <xf numFmtId="0" fontId="3" fillId="6" borderId="1" xfId="0" applyFont="1" applyFill="1"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165" fontId="0" fillId="0" borderId="1" xfId="1" applyNumberFormat="1" applyFont="1" applyBorder="1" applyAlignment="1">
      <alignment horizontal="center" vertical="center"/>
    </xf>
    <xf numFmtId="165" fontId="0" fillId="0" borderId="3" xfId="1" applyNumberFormat="1" applyFont="1" applyBorder="1" applyAlignment="1">
      <alignment horizontal="center" vertical="center"/>
    </xf>
    <xf numFmtId="166" fontId="0" fillId="0" borderId="14" xfId="0" applyNumberFormat="1" applyBorder="1" applyAlignment="1">
      <alignment horizontal="center" vertical="center"/>
    </xf>
    <xf numFmtId="0" fontId="0" fillId="0" borderId="15" xfId="0" applyBorder="1" applyAlignment="1">
      <alignment horizontal="center" vertical="center"/>
    </xf>
    <xf numFmtId="165" fontId="0" fillId="0" borderId="8" xfId="1" applyNumberFormat="1" applyFont="1" applyBorder="1" applyAlignment="1">
      <alignment horizontal="center" vertical="center"/>
    </xf>
    <xf numFmtId="165" fontId="0" fillId="0" borderId="9" xfId="1" applyNumberFormat="1" applyFont="1" applyBorder="1" applyAlignment="1">
      <alignment horizontal="center" vertical="center"/>
    </xf>
    <xf numFmtId="10" fontId="0" fillId="0" borderId="1" xfId="0" applyNumberFormat="1" applyBorder="1" applyAlignment="1">
      <alignment horizontal="center" vertical="center"/>
    </xf>
    <xf numFmtId="10" fontId="0" fillId="0" borderId="3" xfId="0" applyNumberFormat="1" applyBorder="1" applyAlignment="1">
      <alignment horizontal="center" vertical="center"/>
    </xf>
    <xf numFmtId="167" fontId="0" fillId="0" borderId="0" xfId="0" applyNumberFormat="1" applyAlignment="1">
      <alignment horizontal="center" vertical="center"/>
    </xf>
    <xf numFmtId="0" fontId="3" fillId="7" borderId="20" xfId="0" applyFont="1" applyFill="1" applyBorder="1" applyAlignment="1">
      <alignment horizontal="center" vertical="center"/>
    </xf>
    <xf numFmtId="0" fontId="3" fillId="8" borderId="20" xfId="0" applyFont="1" applyFill="1" applyBorder="1" applyAlignment="1">
      <alignment horizontal="center" vertical="center"/>
    </xf>
    <xf numFmtId="0" fontId="3" fillId="9" borderId="20"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20" xfId="0" applyFont="1" applyFill="1" applyBorder="1" applyAlignment="1">
      <alignment horizontal="center" vertical="center"/>
    </xf>
    <xf numFmtId="0" fontId="0" fillId="0" borderId="0" xfId="0" applyAlignment="1">
      <alignment horizontal="left" vertical="center" indent="1"/>
    </xf>
    <xf numFmtId="0" fontId="3" fillId="7" borderId="30" xfId="1" applyNumberFormat="1" applyFont="1" applyFill="1" applyBorder="1" applyAlignment="1">
      <alignment horizontal="left" vertical="center" wrapText="1" indent="1"/>
    </xf>
    <xf numFmtId="0" fontId="3" fillId="8" borderId="30" xfId="1" applyNumberFormat="1" applyFont="1" applyFill="1" applyBorder="1" applyAlignment="1">
      <alignment horizontal="left" vertical="center" wrapText="1" indent="1"/>
    </xf>
    <xf numFmtId="0" fontId="3" fillId="9" borderId="30" xfId="1" applyNumberFormat="1" applyFont="1" applyFill="1" applyBorder="1" applyAlignment="1">
      <alignment horizontal="left" vertical="center" wrapText="1" indent="1"/>
    </xf>
    <xf numFmtId="0" fontId="3" fillId="5" borderId="27" xfId="1" applyNumberFormat="1" applyFont="1" applyFill="1" applyBorder="1" applyAlignment="1">
      <alignment horizontal="left" vertical="center" wrapText="1" indent="1"/>
    </xf>
    <xf numFmtId="0" fontId="0" fillId="0" borderId="27" xfId="1" applyNumberFormat="1" applyFont="1" applyBorder="1" applyAlignment="1">
      <alignment horizontal="left" vertical="center" wrapText="1" indent="1"/>
    </xf>
    <xf numFmtId="0" fontId="3" fillId="6" borderId="27" xfId="1" applyNumberFormat="1" applyFont="1" applyFill="1" applyBorder="1" applyAlignment="1">
      <alignment horizontal="left" vertical="center" wrapText="1" indent="1"/>
    </xf>
    <xf numFmtId="0" fontId="0" fillId="0" borderId="31" xfId="0" applyBorder="1" applyAlignment="1">
      <alignment horizontal="left" vertical="center" wrapText="1" indent="1"/>
    </xf>
    <xf numFmtId="0" fontId="0" fillId="0" borderId="32" xfId="1" applyNumberFormat="1" applyFont="1" applyBorder="1" applyAlignment="1">
      <alignment horizontal="left" vertical="center" wrapText="1" indent="1"/>
    </xf>
    <xf numFmtId="0" fontId="0" fillId="0" borderId="26" xfId="0" applyBorder="1" applyAlignment="1">
      <alignment horizontal="left" vertical="center" wrapText="1" indent="1"/>
    </xf>
    <xf numFmtId="0" fontId="0" fillId="0" borderId="27" xfId="0" applyBorder="1" applyAlignment="1">
      <alignment horizontal="left" vertical="center" wrapText="1" indent="1"/>
    </xf>
    <xf numFmtId="0" fontId="0" fillId="0" borderId="0" xfId="0" applyAlignment="1">
      <alignment horizontal="left" vertical="center" wrapText="1" indent="1"/>
    </xf>
    <xf numFmtId="0" fontId="0" fillId="0" borderId="2" xfId="0" applyBorder="1" applyAlignment="1">
      <alignment horizontal="left" vertical="center" indent="1"/>
    </xf>
    <xf numFmtId="0" fontId="0" fillId="0" borderId="13" xfId="0" applyBorder="1" applyAlignment="1">
      <alignment horizontal="center" vertical="center"/>
    </xf>
    <xf numFmtId="0" fontId="0" fillId="0" borderId="19" xfId="0" applyBorder="1" applyAlignment="1">
      <alignment vertical="center"/>
    </xf>
    <xf numFmtId="0" fontId="0" fillId="0" borderId="20" xfId="0" applyBorder="1" applyAlignment="1">
      <alignment horizontal="center" vertical="center"/>
    </xf>
    <xf numFmtId="165" fontId="1" fillId="0" borderId="20" xfId="1" applyNumberFormat="1" applyFont="1" applyFill="1" applyBorder="1" applyAlignment="1">
      <alignment horizontal="center" vertical="center"/>
    </xf>
    <xf numFmtId="165" fontId="1" fillId="0" borderId="21" xfId="1" applyNumberFormat="1" applyFont="1" applyFill="1" applyBorder="1" applyAlignment="1">
      <alignment horizontal="center" vertical="center"/>
    </xf>
    <xf numFmtId="0" fontId="1" fillId="0" borderId="30" xfId="1" applyNumberFormat="1" applyFont="1" applyFill="1" applyBorder="1" applyAlignment="1">
      <alignment horizontal="left" vertical="center" wrapText="1" indent="1"/>
    </xf>
    <xf numFmtId="0" fontId="3" fillId="7" borderId="37" xfId="0" applyFont="1" applyFill="1" applyBorder="1" applyAlignment="1">
      <alignment horizontal="center" vertical="center"/>
    </xf>
    <xf numFmtId="0" fontId="3" fillId="8" borderId="37" xfId="0" applyFont="1" applyFill="1" applyBorder="1" applyAlignment="1">
      <alignment horizontal="center" vertical="center"/>
    </xf>
    <xf numFmtId="0" fontId="0" fillId="0" borderId="37" xfId="0" applyBorder="1" applyAlignment="1">
      <alignment horizontal="center" vertical="center"/>
    </xf>
    <xf numFmtId="0" fontId="3" fillId="9" borderId="37" xfId="0" applyFont="1" applyFill="1" applyBorder="1" applyAlignment="1">
      <alignment horizontal="center" vertical="center"/>
    </xf>
    <xf numFmtId="0" fontId="3" fillId="5" borderId="29" xfId="0" applyFont="1" applyFill="1" applyBorder="1" applyAlignment="1">
      <alignment horizontal="center" vertical="center"/>
    </xf>
    <xf numFmtId="0" fontId="0" fillId="0" borderId="29" xfId="0" applyBorder="1" applyAlignment="1">
      <alignment horizontal="center" vertical="center"/>
    </xf>
    <xf numFmtId="0" fontId="3" fillId="6" borderId="29" xfId="0" applyFont="1" applyFill="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27" xfId="0" applyBorder="1" applyAlignment="1">
      <alignment horizontal="left" wrapText="1"/>
    </xf>
    <xf numFmtId="0" fontId="0" fillId="0" borderId="28" xfId="0" applyBorder="1" applyAlignment="1">
      <alignment horizontal="left" wrapText="1"/>
    </xf>
    <xf numFmtId="0" fontId="0" fillId="0" borderId="0" xfId="0" applyAlignment="1">
      <alignment horizontal="left" wrapText="1"/>
    </xf>
    <xf numFmtId="0" fontId="3" fillId="0" borderId="0" xfId="0" applyFont="1"/>
    <xf numFmtId="0" fontId="3"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center"/>
    </xf>
    <xf numFmtId="17" fontId="6" fillId="0" borderId="0" xfId="0" applyNumberFormat="1" applyFont="1" applyAlignment="1">
      <alignment horizontal="left" vertical="center"/>
    </xf>
    <xf numFmtId="0" fontId="0" fillId="0" borderId="30" xfId="0" applyBorder="1" applyAlignment="1">
      <alignment horizontal="left" wrapText="1"/>
    </xf>
    <xf numFmtId="165" fontId="3" fillId="0" borderId="0" xfId="1" applyNumberFormat="1" applyFont="1" applyFill="1" applyBorder="1" applyAlignment="1">
      <alignment horizontal="center" vertical="center"/>
    </xf>
    <xf numFmtId="0" fontId="15" fillId="0" borderId="0" xfId="0" applyFont="1" applyAlignment="1">
      <alignment vertical="center"/>
    </xf>
    <xf numFmtId="0" fontId="2" fillId="18" borderId="0" xfId="6" applyAlignment="1">
      <alignment vertical="center"/>
    </xf>
    <xf numFmtId="0" fontId="2" fillId="18" borderId="0" xfId="6" applyAlignment="1">
      <alignment vertical="center" wrapText="1"/>
    </xf>
    <xf numFmtId="0" fontId="15" fillId="0" borderId="0" xfId="0" applyFont="1"/>
    <xf numFmtId="0" fontId="15" fillId="0" borderId="0" xfId="0" applyFont="1" applyAlignment="1">
      <alignment vertical="center" wrapText="1"/>
    </xf>
    <xf numFmtId="173" fontId="17" fillId="0" borderId="0" xfId="7" applyNumberFormat="1" applyFont="1" applyBorder="1" applyAlignment="1">
      <alignment horizontal="left" vertical="center" wrapText="1"/>
    </xf>
    <xf numFmtId="0" fontId="17" fillId="0" borderId="0" xfId="7" applyFont="1" applyBorder="1" applyAlignment="1">
      <alignment horizontal="left" vertical="center" wrapText="1"/>
    </xf>
    <xf numFmtId="0" fontId="2" fillId="19" borderId="0" xfId="8" applyNumberFormat="1" applyAlignment="1">
      <alignment vertical="center" wrapText="1"/>
    </xf>
    <xf numFmtId="0" fontId="2" fillId="19" borderId="0" xfId="8" applyNumberFormat="1" applyAlignment="1">
      <alignment vertical="center"/>
    </xf>
    <xf numFmtId="173" fontId="1" fillId="0" borderId="1" xfId="7" applyNumberFormat="1" applyFont="1" applyBorder="1" applyAlignment="1">
      <alignment horizontal="left" vertical="center"/>
    </xf>
    <xf numFmtId="0" fontId="1" fillId="0" borderId="0" xfId="0" applyFont="1" applyAlignment="1">
      <alignment vertical="center"/>
    </xf>
    <xf numFmtId="0" fontId="1" fillId="0" borderId="1" xfId="7" applyFont="1" applyBorder="1" applyAlignment="1">
      <alignment horizontal="left" vertical="center"/>
    </xf>
    <xf numFmtId="172" fontId="1" fillId="0" borderId="0" xfId="5" applyNumberFormat="1" applyFont="1" applyAlignment="1">
      <alignment vertical="center"/>
    </xf>
    <xf numFmtId="0" fontId="0" fillId="0" borderId="1" xfId="0" applyBorder="1" applyAlignment="1">
      <alignment vertical="top"/>
    </xf>
    <xf numFmtId="0" fontId="0" fillId="0" borderId="1" xfId="0" applyBorder="1" applyAlignment="1">
      <alignment horizontal="left" vertical="top"/>
    </xf>
    <xf numFmtId="0" fontId="0" fillId="0" borderId="1" xfId="0" applyBorder="1" applyAlignment="1">
      <alignment vertical="top" wrapText="1"/>
    </xf>
    <xf numFmtId="0" fontId="20" fillId="0" borderId="1" xfId="0" applyFont="1" applyBorder="1" applyAlignment="1">
      <alignment vertical="center"/>
    </xf>
    <xf numFmtId="172" fontId="21" fillId="0" borderId="1" xfId="0" applyNumberFormat="1" applyFont="1" applyBorder="1" applyAlignment="1">
      <alignment vertical="center"/>
    </xf>
    <xf numFmtId="0" fontId="3" fillId="0" borderId="1" xfId="0" applyFont="1" applyBorder="1"/>
    <xf numFmtId="0" fontId="3" fillId="0" borderId="1" xfId="0" applyFont="1" applyBorder="1" applyAlignment="1">
      <alignment vertical="center"/>
    </xf>
    <xf numFmtId="0" fontId="2" fillId="19" borderId="1" xfId="8" applyNumberFormat="1" applyBorder="1" applyAlignment="1">
      <alignment vertical="center" wrapText="1"/>
    </xf>
    <xf numFmtId="174" fontId="15" fillId="21" borderId="50" xfId="10" applyBorder="1">
      <alignment vertical="top"/>
    </xf>
    <xf numFmtId="0" fontId="0" fillId="0" borderId="50" xfId="0" applyBorder="1" applyAlignment="1">
      <alignment vertical="top"/>
    </xf>
    <xf numFmtId="0" fontId="0" fillId="0" borderId="0" xfId="0" applyAlignment="1">
      <alignment vertical="top"/>
    </xf>
    <xf numFmtId="0" fontId="15" fillId="20" borderId="0" xfId="9" applyAlignment="1">
      <alignment vertical="top"/>
      <protection locked="0"/>
    </xf>
    <xf numFmtId="0" fontId="15" fillId="0" borderId="0" xfId="12" applyNumberFormat="1" applyAlignment="1">
      <alignment vertical="top"/>
    </xf>
    <xf numFmtId="9" fontId="22" fillId="0" borderId="0" xfId="13" applyAlignment="1">
      <alignment vertical="top"/>
    </xf>
    <xf numFmtId="0" fontId="23" fillId="0" borderId="0" xfId="15" applyAlignment="1">
      <alignment vertical="top"/>
    </xf>
    <xf numFmtId="0" fontId="2" fillId="19" borderId="0" xfId="8" applyNumberFormat="1" applyAlignment="1">
      <alignment vertical="top"/>
    </xf>
    <xf numFmtId="0" fontId="0" fillId="24" borderId="0" xfId="0" applyFill="1" applyAlignment="1">
      <alignment vertical="top"/>
    </xf>
    <xf numFmtId="0" fontId="0" fillId="11" borderId="0" xfId="0" applyFill="1" applyAlignment="1">
      <alignment vertical="top"/>
    </xf>
    <xf numFmtId="0" fontId="2" fillId="19" borderId="22" xfId="8" applyNumberFormat="1" applyBorder="1" applyAlignment="1">
      <alignment vertical="top"/>
    </xf>
    <xf numFmtId="0" fontId="2" fillId="19" borderId="23" xfId="8" applyNumberFormat="1" applyBorder="1" applyAlignment="1">
      <alignment vertical="top"/>
    </xf>
    <xf numFmtId="0" fontId="2" fillId="19" borderId="23" xfId="8" applyNumberFormat="1" applyBorder="1" applyAlignment="1">
      <alignment horizontal="center" vertical="top"/>
    </xf>
    <xf numFmtId="0" fontId="2" fillId="19" borderId="24" xfId="8" applyNumberFormat="1" applyBorder="1" applyAlignment="1">
      <alignment horizontal="center" vertical="top"/>
    </xf>
    <xf numFmtId="0" fontId="2" fillId="19" borderId="43" xfId="8" applyNumberFormat="1" applyBorder="1" applyAlignment="1">
      <alignment vertical="top"/>
    </xf>
    <xf numFmtId="0" fontId="2" fillId="19" borderId="44" xfId="8" applyNumberFormat="1" applyBorder="1" applyAlignment="1">
      <alignment vertical="top"/>
    </xf>
    <xf numFmtId="0" fontId="2" fillId="19" borderId="44" xfId="8" applyNumberFormat="1" applyBorder="1" applyAlignment="1">
      <alignment horizontal="center" vertical="top"/>
    </xf>
    <xf numFmtId="0" fontId="2" fillId="19" borderId="45" xfId="8" applyNumberFormat="1" applyBorder="1" applyAlignment="1">
      <alignment horizontal="center" vertical="top"/>
    </xf>
    <xf numFmtId="0" fontId="2" fillId="19" borderId="47" xfId="8" applyNumberFormat="1" applyBorder="1" applyAlignment="1">
      <alignment horizontal="center" vertical="top"/>
    </xf>
    <xf numFmtId="0" fontId="2" fillId="19" borderId="48" xfId="8" applyNumberFormat="1" applyBorder="1" applyAlignment="1">
      <alignment horizontal="center" vertical="top"/>
    </xf>
    <xf numFmtId="0" fontId="2" fillId="19" borderId="42" xfId="8" applyNumberFormat="1" applyBorder="1" applyAlignment="1">
      <alignment horizontal="center" vertical="top"/>
    </xf>
    <xf numFmtId="0" fontId="2" fillId="19" borderId="46" xfId="8" applyNumberFormat="1" applyBorder="1" applyAlignment="1">
      <alignment horizontal="center" vertical="top"/>
    </xf>
    <xf numFmtId="0" fontId="2" fillId="19" borderId="1" xfId="8" applyNumberFormat="1" applyBorder="1" applyAlignment="1">
      <alignment vertical="top" wrapText="1"/>
    </xf>
    <xf numFmtId="0" fontId="2" fillId="19" borderId="1" xfId="8" applyNumberFormat="1" applyBorder="1" applyAlignment="1">
      <alignment horizontal="center" vertical="center" wrapText="1"/>
    </xf>
    <xf numFmtId="0" fontId="2" fillId="19" borderId="16" xfId="8" applyNumberFormat="1" applyBorder="1" applyAlignment="1">
      <alignment vertical="top"/>
    </xf>
    <xf numFmtId="0" fontId="2" fillId="19" borderId="17" xfId="8" applyNumberFormat="1" applyBorder="1" applyAlignment="1">
      <alignment vertical="top"/>
    </xf>
    <xf numFmtId="0" fontId="2" fillId="19" borderId="17" xfId="8" applyNumberFormat="1" applyBorder="1" applyAlignment="1">
      <alignment horizontal="center" vertical="top"/>
    </xf>
    <xf numFmtId="0" fontId="2" fillId="19" borderId="18" xfId="8" applyNumberFormat="1" applyBorder="1" applyAlignment="1">
      <alignment horizontal="center" vertical="top"/>
    </xf>
    <xf numFmtId="0" fontId="2" fillId="19" borderId="11" xfId="8" applyNumberFormat="1" applyBorder="1" applyAlignment="1">
      <alignment horizontal="center" vertical="center" wrapText="1"/>
    </xf>
    <xf numFmtId="165" fontId="22" fillId="0" borderId="17" xfId="1" applyNumberFormat="1" applyFont="1" applyFill="1" applyBorder="1" applyAlignment="1">
      <alignment horizontal="center" vertical="center"/>
    </xf>
    <xf numFmtId="165" fontId="22" fillId="0" borderId="18" xfId="1" applyNumberFormat="1" applyFont="1" applyFill="1" applyBorder="1" applyAlignment="1">
      <alignment horizontal="center" vertical="center"/>
    </xf>
    <xf numFmtId="0" fontId="3" fillId="0" borderId="16" xfId="0" applyFont="1" applyBorder="1"/>
    <xf numFmtId="0" fontId="3" fillId="0" borderId="17"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170" fontId="3" fillId="0" borderId="17" xfId="0" applyNumberFormat="1" applyFont="1" applyBorder="1" applyAlignment="1">
      <alignment horizontal="center" vertical="center"/>
    </xf>
    <xf numFmtId="170" fontId="3" fillId="0" borderId="18" xfId="0" applyNumberFormat="1" applyFont="1" applyBorder="1" applyAlignment="1">
      <alignment horizontal="center" vertical="center"/>
    </xf>
    <xf numFmtId="0" fontId="24" fillId="0" borderId="0" xfId="0" applyFont="1"/>
    <xf numFmtId="165" fontId="3" fillId="0" borderId="20" xfId="1" applyNumberFormat="1" applyFont="1" applyFill="1" applyBorder="1" applyAlignment="1">
      <alignment horizontal="center" vertical="center"/>
    </xf>
    <xf numFmtId="165" fontId="3" fillId="0" borderId="21" xfId="1" applyNumberFormat="1" applyFont="1" applyFill="1" applyBorder="1" applyAlignment="1">
      <alignment horizontal="center" vertical="center"/>
    </xf>
    <xf numFmtId="165" fontId="3" fillId="0" borderId="1" xfId="1" applyNumberFormat="1" applyFont="1" applyFill="1" applyBorder="1" applyAlignment="1">
      <alignment horizontal="center" vertical="center"/>
    </xf>
    <xf numFmtId="165" fontId="3" fillId="0" borderId="3" xfId="1" applyNumberFormat="1" applyFont="1" applyFill="1" applyBorder="1" applyAlignment="1">
      <alignment horizontal="center" vertical="center"/>
    </xf>
    <xf numFmtId="0" fontId="0" fillId="0" borderId="27" xfId="1" applyNumberFormat="1" applyFont="1" applyFill="1" applyBorder="1" applyAlignment="1">
      <alignment horizontal="left" vertical="center" wrapText="1" indent="1"/>
    </xf>
    <xf numFmtId="0" fontId="0" fillId="0" borderId="28" xfId="1" applyNumberFormat="1" applyFont="1" applyFill="1" applyBorder="1" applyAlignment="1">
      <alignment horizontal="left" vertical="center" wrapText="1" indent="1"/>
    </xf>
    <xf numFmtId="166" fontId="0" fillId="0" borderId="1" xfId="1" applyNumberFormat="1" applyFont="1" applyFill="1" applyBorder="1" applyAlignment="1">
      <alignment horizontal="center" vertical="center"/>
    </xf>
    <xf numFmtId="166" fontId="0" fillId="0" borderId="3" xfId="1" applyNumberFormat="1" applyFont="1" applyFill="1" applyBorder="1" applyAlignment="1">
      <alignment horizontal="center" vertical="center"/>
    </xf>
    <xf numFmtId="165" fontId="3" fillId="0" borderId="17" xfId="1" applyNumberFormat="1" applyFont="1" applyFill="1" applyBorder="1" applyAlignment="1">
      <alignment horizontal="center" vertical="center"/>
    </xf>
    <xf numFmtId="165" fontId="3" fillId="0" borderId="18" xfId="1" applyNumberFormat="1" applyFont="1" applyFill="1" applyBorder="1" applyAlignment="1">
      <alignment horizontal="center" vertical="center"/>
    </xf>
    <xf numFmtId="165" fontId="22" fillId="0" borderId="20" xfId="1" applyNumberFormat="1" applyFont="1" applyFill="1" applyBorder="1" applyAlignment="1">
      <alignment horizontal="center" vertical="center"/>
    </xf>
    <xf numFmtId="165" fontId="22" fillId="0" borderId="1" xfId="1" applyNumberFormat="1" applyFont="1" applyFill="1" applyBorder="1" applyAlignment="1">
      <alignment horizontal="center" vertical="center"/>
    </xf>
    <xf numFmtId="165" fontId="22" fillId="0" borderId="3" xfId="1" applyNumberFormat="1" applyFont="1" applyFill="1" applyBorder="1" applyAlignment="1">
      <alignment horizontal="center" vertical="center"/>
    </xf>
    <xf numFmtId="165" fontId="22" fillId="0" borderId="11" xfId="1" applyNumberFormat="1" applyFont="1" applyFill="1" applyBorder="1" applyAlignment="1">
      <alignment horizontal="center" vertical="center"/>
    </xf>
    <xf numFmtId="165" fontId="22" fillId="0" borderId="12" xfId="1" applyNumberFormat="1" applyFont="1" applyFill="1" applyBorder="1" applyAlignment="1">
      <alignment horizontal="center" vertical="center"/>
    </xf>
    <xf numFmtId="165" fontId="3" fillId="0" borderId="5" xfId="1" applyNumberFormat="1" applyFont="1" applyFill="1" applyBorder="1" applyAlignment="1">
      <alignment horizontal="center" vertical="center"/>
    </xf>
    <xf numFmtId="165" fontId="3" fillId="0" borderId="6" xfId="1" applyNumberFormat="1" applyFont="1" applyFill="1" applyBorder="1" applyAlignment="1">
      <alignment horizontal="center" vertical="center"/>
    </xf>
    <xf numFmtId="165" fontId="0" fillId="0" borderId="5" xfId="1" applyNumberFormat="1" applyFont="1" applyFill="1" applyBorder="1" applyAlignment="1">
      <alignment horizontal="center" vertical="center"/>
    </xf>
    <xf numFmtId="165" fontId="0" fillId="0" borderId="6" xfId="1" applyNumberFormat="1" applyFont="1" applyFill="1" applyBorder="1" applyAlignment="1">
      <alignment horizontal="center" vertical="center"/>
    </xf>
    <xf numFmtId="166" fontId="25" fillId="0" borderId="1" xfId="1" applyNumberFormat="1" applyFont="1" applyFill="1" applyBorder="1" applyAlignment="1">
      <alignment horizontal="center" vertical="center"/>
    </xf>
    <xf numFmtId="166" fontId="25" fillId="0" borderId="3" xfId="1" applyNumberFormat="1" applyFont="1" applyFill="1" applyBorder="1" applyAlignment="1">
      <alignment horizontal="center" vertical="center"/>
    </xf>
    <xf numFmtId="165" fontId="25" fillId="0" borderId="5" xfId="1" applyNumberFormat="1" applyFont="1" applyFill="1" applyBorder="1" applyAlignment="1">
      <alignment horizontal="center" vertical="center"/>
    </xf>
    <xf numFmtId="165" fontId="25" fillId="0" borderId="6" xfId="1" applyNumberFormat="1" applyFont="1" applyFill="1" applyBorder="1" applyAlignment="1">
      <alignment horizontal="center" vertical="center"/>
    </xf>
    <xf numFmtId="165" fontId="25" fillId="0" borderId="1" xfId="1" applyNumberFormat="1" applyFont="1" applyBorder="1" applyAlignment="1">
      <alignment horizontal="center" vertical="center"/>
    </xf>
    <xf numFmtId="165" fontId="25" fillId="0" borderId="3" xfId="1" applyNumberFormat="1" applyFont="1" applyBorder="1" applyAlignment="1">
      <alignment horizontal="center" vertical="center"/>
    </xf>
    <xf numFmtId="165" fontId="25" fillId="0" borderId="11" xfId="1" applyNumberFormat="1" applyFont="1" applyBorder="1" applyAlignment="1">
      <alignment horizontal="center" vertical="center"/>
    </xf>
    <xf numFmtId="165" fontId="25" fillId="0" borderId="12" xfId="1" applyNumberFormat="1" applyFont="1" applyBorder="1" applyAlignment="1">
      <alignment horizontal="center" vertical="center"/>
    </xf>
    <xf numFmtId="10" fontId="25" fillId="0" borderId="8" xfId="0" applyNumberFormat="1" applyFont="1" applyBorder="1" applyAlignment="1">
      <alignment horizontal="center" vertical="center"/>
    </xf>
    <xf numFmtId="10" fontId="25" fillId="0" borderId="9" xfId="0" applyNumberFormat="1" applyFont="1" applyBorder="1" applyAlignment="1">
      <alignment horizontal="center" vertical="center"/>
    </xf>
    <xf numFmtId="10" fontId="25" fillId="0" borderId="1" xfId="0" applyNumberFormat="1" applyFont="1" applyBorder="1" applyAlignment="1">
      <alignment horizontal="center" vertical="center"/>
    </xf>
    <xf numFmtId="10" fontId="25" fillId="0" borderId="3" xfId="0" applyNumberFormat="1" applyFont="1" applyBorder="1" applyAlignment="1">
      <alignment horizontal="center" vertical="center"/>
    </xf>
    <xf numFmtId="165" fontId="0" fillId="0" borderId="1" xfId="1" applyNumberFormat="1" applyFont="1" applyFill="1" applyBorder="1" applyAlignment="1">
      <alignment horizontal="center" vertical="center"/>
    </xf>
    <xf numFmtId="166" fontId="0" fillId="0" borderId="8" xfId="1" applyNumberFormat="1" applyFont="1" applyFill="1" applyBorder="1" applyAlignment="1">
      <alignment horizontal="center" vertical="center"/>
    </xf>
    <xf numFmtId="166" fontId="0" fillId="0" borderId="5" xfId="1" applyNumberFormat="1" applyFont="1" applyFill="1" applyBorder="1" applyAlignment="1">
      <alignment horizontal="center" vertical="center"/>
    </xf>
    <xf numFmtId="166" fontId="25" fillId="0" borderId="8" xfId="1" applyNumberFormat="1" applyFont="1" applyFill="1" applyBorder="1" applyAlignment="1">
      <alignment horizontal="center" vertical="center"/>
    </xf>
    <xf numFmtId="166" fontId="25" fillId="0" borderId="9" xfId="1" applyNumberFormat="1" applyFont="1" applyFill="1" applyBorder="1" applyAlignment="1">
      <alignment horizontal="center" vertical="center"/>
    </xf>
    <xf numFmtId="166" fontId="25" fillId="0" borderId="5" xfId="1" applyNumberFormat="1" applyFont="1" applyFill="1" applyBorder="1" applyAlignment="1">
      <alignment horizontal="center" vertical="center"/>
    </xf>
    <xf numFmtId="166" fontId="25" fillId="0" borderId="6" xfId="1" applyNumberFormat="1" applyFont="1" applyFill="1" applyBorder="1" applyAlignment="1">
      <alignment horizontal="center" vertical="center"/>
    </xf>
    <xf numFmtId="0" fontId="0" fillId="0" borderId="19" xfId="0" applyBorder="1"/>
    <xf numFmtId="0" fontId="0" fillId="0" borderId="16" xfId="0" applyBorder="1"/>
    <xf numFmtId="0" fontId="2" fillId="19" borderId="47" xfId="8" applyNumberFormat="1" applyBorder="1" applyAlignment="1">
      <alignment vertical="top"/>
    </xf>
    <xf numFmtId="0" fontId="2" fillId="19" borderId="48" xfId="8" applyNumberFormat="1" applyBorder="1" applyAlignment="1">
      <alignment vertical="top"/>
    </xf>
    <xf numFmtId="0" fontId="2" fillId="19" borderId="22" xfId="8" applyNumberFormat="1" applyBorder="1" applyAlignment="1">
      <alignment horizontal="center" vertical="top"/>
    </xf>
    <xf numFmtId="0" fontId="2" fillId="19" borderId="43" xfId="8" applyNumberFormat="1" applyBorder="1" applyAlignment="1">
      <alignment horizontal="center" vertical="top"/>
    </xf>
    <xf numFmtId="165" fontId="3" fillId="0" borderId="19" xfId="1" applyNumberFormat="1" applyFont="1" applyFill="1" applyBorder="1" applyAlignment="1">
      <alignment horizontal="center" vertical="center"/>
    </xf>
    <xf numFmtId="165" fontId="3" fillId="0" borderId="2" xfId="1" applyNumberFormat="1" applyFont="1" applyFill="1" applyBorder="1" applyAlignment="1">
      <alignment horizontal="center" vertical="center"/>
    </xf>
    <xf numFmtId="165" fontId="3" fillId="0" borderId="4" xfId="1" applyNumberFormat="1" applyFont="1" applyFill="1" applyBorder="1" applyAlignment="1">
      <alignment horizontal="center" vertical="center"/>
    </xf>
    <xf numFmtId="166" fontId="0" fillId="0" borderId="13" xfId="0" applyNumberFormat="1" applyBorder="1" applyAlignment="1">
      <alignment horizontal="center" vertical="center"/>
    </xf>
    <xf numFmtId="165" fontId="0" fillId="0" borderId="7" xfId="1" applyNumberFormat="1" applyFont="1" applyBorder="1" applyAlignment="1">
      <alignment horizontal="center" vertical="center"/>
    </xf>
    <xf numFmtId="165" fontId="0" fillId="0" borderId="2" xfId="1" applyNumberFormat="1" applyFont="1" applyBorder="1" applyAlignment="1">
      <alignment horizontal="center" vertical="center"/>
    </xf>
    <xf numFmtId="165" fontId="3" fillId="0" borderId="16" xfId="1" applyNumberFormat="1" applyFont="1" applyFill="1" applyBorder="1" applyAlignment="1">
      <alignment horizontal="center" vertical="center"/>
    </xf>
    <xf numFmtId="0" fontId="3" fillId="5" borderId="37" xfId="0" applyFont="1" applyFill="1" applyBorder="1" applyAlignment="1">
      <alignment horizontal="center" vertical="center"/>
    </xf>
    <xf numFmtId="0" fontId="3" fillId="5" borderId="40" xfId="0" applyFont="1" applyFill="1" applyBorder="1" applyAlignment="1">
      <alignment horizontal="center" vertical="center"/>
    </xf>
    <xf numFmtId="0" fontId="2" fillId="19" borderId="51" xfId="8" applyNumberFormat="1" applyBorder="1" applyAlignment="1">
      <alignment horizontal="center" vertical="top"/>
    </xf>
    <xf numFmtId="0" fontId="2" fillId="19" borderId="54" xfId="8" applyNumberFormat="1" applyBorder="1" applyAlignment="1">
      <alignment horizontal="center" vertical="top"/>
    </xf>
    <xf numFmtId="0" fontId="3" fillId="5" borderId="55" xfId="1" applyNumberFormat="1" applyFont="1" applyFill="1" applyBorder="1" applyAlignment="1">
      <alignment horizontal="left" vertical="center" indent="1"/>
    </xf>
    <xf numFmtId="0" fontId="3" fillId="5" borderId="56" xfId="1" applyNumberFormat="1" applyFont="1" applyFill="1" applyBorder="1" applyAlignment="1">
      <alignment horizontal="left" vertical="center" indent="1"/>
    </xf>
    <xf numFmtId="0" fontId="0" fillId="0" borderId="56" xfId="1" applyNumberFormat="1" applyFont="1" applyBorder="1" applyAlignment="1">
      <alignment horizontal="left" vertical="center" indent="1"/>
    </xf>
    <xf numFmtId="0" fontId="3" fillId="6" borderId="56" xfId="1" applyNumberFormat="1" applyFont="1" applyFill="1" applyBorder="1" applyAlignment="1">
      <alignment horizontal="left" vertical="center" indent="1"/>
    </xf>
    <xf numFmtId="0" fontId="3" fillId="5" borderId="52" xfId="1" applyNumberFormat="1" applyFont="1" applyFill="1" applyBorder="1" applyAlignment="1">
      <alignment horizontal="left" vertical="center" indent="1"/>
    </xf>
    <xf numFmtId="0" fontId="3" fillId="6" borderId="35" xfId="1" applyNumberFormat="1" applyFont="1" applyFill="1" applyBorder="1" applyAlignment="1">
      <alignment horizontal="left" vertical="center" indent="1"/>
    </xf>
    <xf numFmtId="0" fontId="3" fillId="5" borderId="57" xfId="1" applyNumberFormat="1" applyFont="1" applyFill="1" applyBorder="1" applyAlignment="1">
      <alignment horizontal="left" vertical="center" indent="1"/>
    </xf>
    <xf numFmtId="0" fontId="0" fillId="0" borderId="57" xfId="0" applyBorder="1" applyAlignment="1">
      <alignment horizontal="left" vertical="center" indent="1"/>
    </xf>
    <xf numFmtId="0" fontId="0" fillId="0" borderId="52" xfId="1" applyNumberFormat="1" applyFont="1" applyBorder="1" applyAlignment="1">
      <alignment horizontal="left" vertical="center" indent="1"/>
    </xf>
    <xf numFmtId="0" fontId="0" fillId="0" borderId="58" xfId="0" applyBorder="1" applyAlignment="1">
      <alignment horizontal="left" vertical="center" indent="1"/>
    </xf>
    <xf numFmtId="0" fontId="0" fillId="0" borderId="56" xfId="0" applyBorder="1" applyAlignment="1">
      <alignment horizontal="left" vertical="center" indent="1"/>
    </xf>
    <xf numFmtId="165" fontId="22" fillId="0" borderId="19" xfId="1" applyNumberFormat="1" applyFont="1" applyFill="1" applyBorder="1" applyAlignment="1">
      <alignment horizontal="center" vertical="center"/>
    </xf>
    <xf numFmtId="165" fontId="22" fillId="0" borderId="21" xfId="1" applyNumberFormat="1" applyFont="1" applyFill="1" applyBorder="1" applyAlignment="1">
      <alignment horizontal="center" vertical="center"/>
    </xf>
    <xf numFmtId="165" fontId="22" fillId="0" borderId="2" xfId="1" applyNumberFormat="1" applyFont="1" applyFill="1" applyBorder="1" applyAlignment="1">
      <alignment horizontal="center" vertical="center"/>
    </xf>
    <xf numFmtId="165" fontId="22" fillId="0" borderId="10" xfId="1" applyNumberFormat="1" applyFont="1" applyFill="1" applyBorder="1" applyAlignment="1">
      <alignment horizontal="center" vertical="center"/>
    </xf>
    <xf numFmtId="166" fontId="25" fillId="0" borderId="2" xfId="1" applyNumberFormat="1" applyFont="1" applyFill="1" applyBorder="1" applyAlignment="1">
      <alignment horizontal="center" vertical="center"/>
    </xf>
    <xf numFmtId="165" fontId="25" fillId="0" borderId="4" xfId="1" applyNumberFormat="1" applyFont="1" applyFill="1" applyBorder="1" applyAlignment="1">
      <alignment horizontal="center" vertical="center"/>
    </xf>
    <xf numFmtId="165" fontId="25" fillId="0" borderId="2" xfId="1" applyNumberFormat="1" applyFont="1" applyBorder="1" applyAlignment="1">
      <alignment horizontal="center" vertical="center"/>
    </xf>
    <xf numFmtId="165" fontId="25" fillId="0" borderId="10" xfId="1" applyNumberFormat="1" applyFont="1" applyBorder="1" applyAlignment="1">
      <alignment horizontal="center" vertical="center"/>
    </xf>
    <xf numFmtId="10" fontId="25" fillId="0" borderId="7" xfId="0" applyNumberFormat="1" applyFont="1" applyBorder="1" applyAlignment="1">
      <alignment horizontal="center" vertical="center"/>
    </xf>
    <xf numFmtId="10" fontId="25" fillId="0" borderId="2" xfId="0" applyNumberFormat="1" applyFont="1" applyBorder="1" applyAlignment="1">
      <alignment horizontal="center" vertical="center"/>
    </xf>
    <xf numFmtId="0" fontId="25" fillId="0" borderId="0" xfId="0" applyFont="1"/>
    <xf numFmtId="165" fontId="0" fillId="0" borderId="3" xfId="1" applyNumberFormat="1" applyFont="1" applyFill="1" applyBorder="1" applyAlignment="1">
      <alignment horizontal="center" vertical="center"/>
    </xf>
    <xf numFmtId="165" fontId="0" fillId="0" borderId="11" xfId="0" applyNumberFormat="1" applyBorder="1" applyAlignment="1">
      <alignment horizontal="center" vertical="center"/>
    </xf>
    <xf numFmtId="165" fontId="0" fillId="0" borderId="12" xfId="0" applyNumberFormat="1" applyBorder="1" applyAlignment="1">
      <alignment horizontal="center" vertical="center"/>
    </xf>
    <xf numFmtId="0" fontId="3" fillId="5" borderId="32" xfId="1" applyNumberFormat="1" applyFont="1" applyFill="1" applyBorder="1" applyAlignment="1">
      <alignment horizontal="left" vertical="center" wrapText="1" indent="1"/>
    </xf>
    <xf numFmtId="0" fontId="3" fillId="5" borderId="4" xfId="0" applyFont="1" applyFill="1" applyBorder="1" applyAlignment="1">
      <alignment vertical="center"/>
    </xf>
    <xf numFmtId="0" fontId="3" fillId="5" borderId="5" xfId="0" applyFont="1" applyFill="1" applyBorder="1" applyAlignment="1">
      <alignment horizontal="center" vertical="center"/>
    </xf>
    <xf numFmtId="0" fontId="3" fillId="5" borderId="38" xfId="0" applyFont="1" applyFill="1" applyBorder="1" applyAlignment="1">
      <alignment horizontal="center" vertical="center"/>
    </xf>
    <xf numFmtId="0" fontId="3" fillId="0" borderId="38" xfId="0" applyFont="1" applyBorder="1" applyAlignment="1">
      <alignment horizontal="center" vertical="center"/>
    </xf>
    <xf numFmtId="0" fontId="0" fillId="0" borderId="4" xfId="0" applyBorder="1"/>
    <xf numFmtId="166" fontId="3" fillId="0" borderId="5" xfId="1" applyNumberFormat="1" applyFont="1" applyFill="1" applyBorder="1" applyAlignment="1">
      <alignment horizontal="center" vertical="center"/>
    </xf>
    <xf numFmtId="0" fontId="3" fillId="0" borderId="36" xfId="0" applyFont="1" applyBorder="1" applyAlignment="1">
      <alignment horizontal="center" vertical="center"/>
    </xf>
    <xf numFmtId="165" fontId="22" fillId="0" borderId="16" xfId="1" applyNumberFormat="1" applyFont="1" applyFill="1" applyBorder="1" applyAlignment="1">
      <alignment horizontal="center" vertical="center"/>
    </xf>
    <xf numFmtId="0" fontId="0" fillId="0" borderId="36" xfId="0" applyBorder="1" applyAlignment="1">
      <alignment horizontal="center" vertical="center"/>
    </xf>
    <xf numFmtId="0" fontId="2" fillId="19" borderId="36" xfId="8" applyNumberFormat="1" applyBorder="1" applyAlignment="1">
      <alignment vertical="top"/>
    </xf>
    <xf numFmtId="0" fontId="0" fillId="0" borderId="38" xfId="0" applyBorder="1" applyAlignment="1">
      <alignment horizontal="center" vertical="center"/>
    </xf>
    <xf numFmtId="0" fontId="2" fillId="19" borderId="16" xfId="8" applyNumberFormat="1" applyBorder="1" applyAlignment="1">
      <alignment horizontal="center" vertical="top"/>
    </xf>
    <xf numFmtId="170" fontId="3" fillId="0" borderId="16" xfId="0" applyNumberFormat="1" applyFont="1" applyBorder="1" applyAlignment="1">
      <alignment horizontal="center" vertical="center"/>
    </xf>
    <xf numFmtId="0" fontId="3" fillId="0" borderId="39" xfId="1" applyNumberFormat="1" applyFont="1" applyFill="1" applyBorder="1" applyAlignment="1">
      <alignment horizontal="center" vertical="center" wrapText="1"/>
    </xf>
    <xf numFmtId="166" fontId="3" fillId="0" borderId="38" xfId="1" applyNumberFormat="1" applyFont="1" applyFill="1" applyBorder="1" applyAlignment="1">
      <alignment horizontal="center" vertical="center"/>
    </xf>
    <xf numFmtId="166" fontId="25" fillId="0" borderId="7" xfId="1" applyNumberFormat="1" applyFont="1" applyFill="1" applyBorder="1" applyAlignment="1">
      <alignment horizontal="center" vertical="center"/>
    </xf>
    <xf numFmtId="166" fontId="25" fillId="0" borderId="4" xfId="1" applyNumberFormat="1" applyFont="1" applyFill="1" applyBorder="1" applyAlignment="1">
      <alignment horizontal="center" vertical="center"/>
    </xf>
    <xf numFmtId="165" fontId="0" fillId="0" borderId="10" xfId="0" applyNumberFormat="1" applyBorder="1" applyAlignment="1">
      <alignment horizontal="center" vertical="center"/>
    </xf>
    <xf numFmtId="165" fontId="0" fillId="0" borderId="20" xfId="1" applyNumberFormat="1" applyFont="1" applyBorder="1" applyAlignment="1">
      <alignment horizontal="center" vertical="center"/>
    </xf>
    <xf numFmtId="165" fontId="0" fillId="0" borderId="21" xfId="1" applyNumberFormat="1" applyFont="1" applyBorder="1" applyAlignment="1">
      <alignment horizontal="center" vertical="center"/>
    </xf>
    <xf numFmtId="0" fontId="3" fillId="5" borderId="43" xfId="0" applyFont="1" applyFill="1" applyBorder="1" applyAlignment="1">
      <alignment vertical="center"/>
    </xf>
    <xf numFmtId="0" fontId="3" fillId="5" borderId="44" xfId="0" applyFont="1" applyFill="1" applyBorder="1" applyAlignment="1">
      <alignment horizontal="center" vertical="center"/>
    </xf>
    <xf numFmtId="0" fontId="3" fillId="5" borderId="48" xfId="0" applyFont="1" applyFill="1" applyBorder="1" applyAlignment="1">
      <alignment horizontal="center" vertical="center"/>
    </xf>
    <xf numFmtId="165" fontId="3" fillId="0" borderId="44" xfId="1" applyNumberFormat="1" applyFont="1" applyFill="1" applyBorder="1" applyAlignment="1">
      <alignment horizontal="center" vertical="center"/>
    </xf>
    <xf numFmtId="165" fontId="3" fillId="0" borderId="45" xfId="1" applyNumberFormat="1" applyFont="1" applyFill="1" applyBorder="1" applyAlignment="1">
      <alignment horizontal="center" vertical="center"/>
    </xf>
    <xf numFmtId="165" fontId="0" fillId="0" borderId="19"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1" xfId="0" applyNumberFormat="1" applyBorder="1" applyAlignment="1">
      <alignment horizontal="center" vertical="center"/>
    </xf>
    <xf numFmtId="10" fontId="0" fillId="0" borderId="10" xfId="0" applyNumberFormat="1" applyBorder="1" applyAlignment="1">
      <alignment horizontal="center" vertical="center"/>
    </xf>
    <xf numFmtId="10" fontId="0" fillId="0" borderId="11" xfId="0" applyNumberFormat="1" applyBorder="1" applyAlignment="1">
      <alignment horizontal="center" vertical="center"/>
    </xf>
    <xf numFmtId="10" fontId="0" fillId="0" borderId="12" xfId="0" applyNumberFormat="1" applyBorder="1" applyAlignment="1">
      <alignment horizontal="center" vertical="center"/>
    </xf>
    <xf numFmtId="0" fontId="3" fillId="0" borderId="4" xfId="0" applyFont="1" applyBorder="1"/>
    <xf numFmtId="0" fontId="0" fillId="0" borderId="4" xfId="0" applyBorder="1" applyAlignment="1">
      <alignment vertical="center"/>
    </xf>
    <xf numFmtId="0" fontId="0" fillId="0" borderId="56" xfId="1" applyNumberFormat="1" applyFont="1" applyFill="1" applyBorder="1" applyAlignment="1">
      <alignment horizontal="left" vertical="center" indent="1"/>
    </xf>
    <xf numFmtId="0" fontId="0" fillId="0" borderId="53" xfId="1" applyNumberFormat="1" applyFont="1" applyFill="1" applyBorder="1" applyAlignment="1">
      <alignment horizontal="left" vertical="center" indent="1"/>
    </xf>
    <xf numFmtId="0" fontId="0" fillId="0" borderId="52" xfId="0" applyBorder="1" applyAlignment="1">
      <alignment horizontal="left" vertical="center" indent="1"/>
    </xf>
    <xf numFmtId="0" fontId="3" fillId="0" borderId="43" xfId="0" applyFont="1" applyBorder="1"/>
    <xf numFmtId="0" fontId="3" fillId="0" borderId="44" xfId="0" applyFont="1" applyBorder="1" applyAlignment="1">
      <alignment horizontal="center" vertical="center"/>
    </xf>
    <xf numFmtId="0" fontId="3" fillId="0" borderId="48" xfId="0" applyFont="1" applyBorder="1" applyAlignment="1">
      <alignment horizontal="center" vertical="center"/>
    </xf>
    <xf numFmtId="165" fontId="3" fillId="0" borderId="43" xfId="1" applyNumberFormat="1" applyFont="1" applyFill="1" applyBorder="1" applyAlignment="1">
      <alignment horizontal="center" vertical="center"/>
    </xf>
    <xf numFmtId="0" fontId="3" fillId="0" borderId="54" xfId="1" applyNumberFormat="1" applyFont="1" applyFill="1" applyBorder="1" applyAlignment="1">
      <alignment horizontal="left" vertical="center" indent="1"/>
    </xf>
    <xf numFmtId="165" fontId="0" fillId="0" borderId="19" xfId="1" applyNumberFormat="1" applyFont="1" applyBorder="1" applyAlignment="1">
      <alignment horizontal="center" vertical="center"/>
    </xf>
    <xf numFmtId="0" fontId="0" fillId="0" borderId="55" xfId="1" applyNumberFormat="1" applyFont="1" applyBorder="1" applyAlignment="1">
      <alignment horizontal="left" vertical="center" indent="1"/>
    </xf>
    <xf numFmtId="0" fontId="0" fillId="0" borderId="30" xfId="1" applyNumberFormat="1" applyFont="1" applyBorder="1" applyAlignment="1">
      <alignment horizontal="left" vertical="center" wrapText="1" indent="1"/>
    </xf>
    <xf numFmtId="0" fontId="0" fillId="0" borderId="32" xfId="0" applyBorder="1" applyAlignment="1">
      <alignment horizontal="left" vertical="center" wrapText="1" indent="1"/>
    </xf>
    <xf numFmtId="0" fontId="20" fillId="0" borderId="7" xfId="0" applyFont="1" applyBorder="1"/>
    <xf numFmtId="0" fontId="20" fillId="0" borderId="8" xfId="0" applyFont="1" applyBorder="1" applyAlignment="1">
      <alignment horizontal="center" vertical="center"/>
    </xf>
    <xf numFmtId="0" fontId="20" fillId="0" borderId="9" xfId="0" applyFont="1" applyBorder="1" applyAlignment="1">
      <alignment horizontal="left" vertical="center" indent="1"/>
    </xf>
    <xf numFmtId="0" fontId="20" fillId="0" borderId="4" xfId="0" applyFont="1" applyBorder="1"/>
    <xf numFmtId="0" fontId="20" fillId="0" borderId="5" xfId="0" applyFont="1" applyBorder="1" applyAlignment="1">
      <alignment horizontal="center" vertical="center"/>
    </xf>
    <xf numFmtId="0" fontId="20" fillId="0" borderId="6" xfId="0" applyFont="1" applyBorder="1" applyAlignment="1">
      <alignment horizontal="left" vertical="center" indent="1"/>
    </xf>
    <xf numFmtId="0" fontId="20" fillId="0" borderId="16" xfId="0" applyFont="1" applyBorder="1"/>
    <xf numFmtId="0" fontId="20" fillId="0" borderId="17" xfId="0" applyFont="1" applyBorder="1" applyAlignment="1">
      <alignment horizontal="center" vertical="center"/>
    </xf>
    <xf numFmtId="0" fontId="20" fillId="0" borderId="35" xfId="0" applyFont="1" applyBorder="1" applyAlignment="1">
      <alignment horizontal="left" vertical="center" indent="1"/>
    </xf>
    <xf numFmtId="0" fontId="20" fillId="0" borderId="39" xfId="0" applyFont="1" applyBorder="1" applyAlignment="1">
      <alignment horizontal="center" vertical="center"/>
    </xf>
    <xf numFmtId="0" fontId="20" fillId="0" borderId="38" xfId="0" applyFont="1" applyBorder="1" applyAlignment="1">
      <alignment horizontal="center" vertical="center"/>
    </xf>
    <xf numFmtId="0" fontId="20" fillId="0" borderId="36" xfId="0" applyFont="1" applyBorder="1" applyAlignment="1">
      <alignment horizontal="center" vertical="center"/>
    </xf>
    <xf numFmtId="171" fontId="22" fillId="0" borderId="19" xfId="2" applyNumberFormat="1" applyFont="1" applyFill="1" applyBorder="1" applyAlignment="1">
      <alignment horizontal="center" vertical="center"/>
    </xf>
    <xf numFmtId="171" fontId="22" fillId="0" borderId="20" xfId="2" applyNumberFormat="1" applyFont="1" applyFill="1" applyBorder="1" applyAlignment="1">
      <alignment horizontal="center" vertical="center"/>
    </xf>
    <xf numFmtId="171" fontId="22" fillId="0" borderId="21" xfId="2" applyNumberFormat="1" applyFont="1" applyFill="1" applyBorder="1" applyAlignment="1">
      <alignment horizontal="center" vertical="center"/>
    </xf>
    <xf numFmtId="165" fontId="20" fillId="0" borderId="16" xfId="1" applyNumberFormat="1" applyFont="1" applyFill="1" applyBorder="1" applyAlignment="1">
      <alignment horizontal="center" vertical="center"/>
    </xf>
    <xf numFmtId="165" fontId="20" fillId="0" borderId="17" xfId="1" applyNumberFormat="1" applyFont="1" applyFill="1" applyBorder="1" applyAlignment="1">
      <alignment horizontal="center" vertical="center"/>
    </xf>
    <xf numFmtId="165" fontId="20" fillId="0" borderId="18" xfId="1" applyNumberFormat="1" applyFont="1" applyFill="1" applyBorder="1" applyAlignment="1">
      <alignment horizontal="center" vertical="center"/>
    </xf>
    <xf numFmtId="165" fontId="25" fillId="0" borderId="19" xfId="1" applyNumberFormat="1" applyFont="1" applyBorder="1" applyAlignment="1">
      <alignment horizontal="center" vertical="center"/>
    </xf>
    <xf numFmtId="165" fontId="25" fillId="0" borderId="20" xfId="1" applyNumberFormat="1" applyFont="1" applyBorder="1" applyAlignment="1">
      <alignment horizontal="center" vertical="center"/>
    </xf>
    <xf numFmtId="165" fontId="25" fillId="0" borderId="21" xfId="1" applyNumberFormat="1" applyFont="1" applyBorder="1" applyAlignment="1">
      <alignment horizontal="center" vertical="center"/>
    </xf>
    <xf numFmtId="170" fontId="20" fillId="0" borderId="4" xfId="0" applyNumberFormat="1" applyFont="1" applyBorder="1" applyAlignment="1">
      <alignment horizontal="center" vertical="center"/>
    </xf>
    <xf numFmtId="170" fontId="20" fillId="0" borderId="5" xfId="0" applyNumberFormat="1" applyFont="1" applyBorder="1" applyAlignment="1">
      <alignment horizontal="center" vertical="center"/>
    </xf>
    <xf numFmtId="170" fontId="20" fillId="0" borderId="6" xfId="0" applyNumberFormat="1" applyFont="1" applyBorder="1" applyAlignment="1">
      <alignment horizontal="center" vertical="center"/>
    </xf>
    <xf numFmtId="165" fontId="0" fillId="0" borderId="20" xfId="1" applyNumberFormat="1" applyFont="1" applyFill="1" applyBorder="1" applyAlignment="1">
      <alignment horizontal="center" vertical="center"/>
    </xf>
    <xf numFmtId="165" fontId="0" fillId="0" borderId="21" xfId="1" applyNumberFormat="1" applyFont="1" applyFill="1" applyBorder="1" applyAlignment="1">
      <alignment horizontal="center" vertical="center"/>
    </xf>
    <xf numFmtId="165" fontId="3" fillId="0" borderId="11" xfId="1" applyNumberFormat="1" applyFont="1" applyFill="1" applyBorder="1" applyAlignment="1">
      <alignment horizontal="center" vertical="center"/>
    </xf>
    <xf numFmtId="165" fontId="3" fillId="0" borderId="12" xfId="1" applyNumberFormat="1" applyFont="1" applyFill="1" applyBorder="1" applyAlignment="1">
      <alignment horizontal="center" vertical="center"/>
    </xf>
    <xf numFmtId="0" fontId="0" fillId="0" borderId="16" xfId="0" applyBorder="1" applyAlignment="1">
      <alignment horizontal="center" vertical="center"/>
    </xf>
    <xf numFmtId="166" fontId="0" fillId="0" borderId="17" xfId="0" applyNumberForma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165" fontId="0" fillId="0" borderId="11" xfId="1" applyNumberFormat="1" applyFont="1" applyFill="1" applyBorder="1" applyAlignment="1">
      <alignment horizontal="center" vertical="center"/>
    </xf>
    <xf numFmtId="165" fontId="0" fillId="0" borderId="12" xfId="1" applyNumberFormat="1" applyFont="1" applyFill="1" applyBorder="1" applyAlignment="1">
      <alignment horizontal="center" vertical="center"/>
    </xf>
    <xf numFmtId="166" fontId="0" fillId="0" borderId="23" xfId="0" applyNumberForma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10" fontId="0" fillId="0" borderId="8" xfId="0" applyNumberFormat="1" applyBorder="1" applyAlignment="1">
      <alignment horizontal="center" vertical="center"/>
    </xf>
    <xf numFmtId="10" fontId="0" fillId="0" borderId="9" xfId="0" applyNumberFormat="1" applyBorder="1" applyAlignment="1">
      <alignment horizontal="center" vertical="center"/>
    </xf>
    <xf numFmtId="0" fontId="3" fillId="10" borderId="64" xfId="0" applyFont="1" applyFill="1" applyBorder="1" applyAlignment="1">
      <alignment horizontal="center" vertical="center"/>
    </xf>
    <xf numFmtId="165" fontId="0" fillId="0" borderId="63" xfId="1" applyNumberFormat="1" applyFont="1" applyFill="1" applyBorder="1" applyAlignment="1">
      <alignment horizontal="center" vertical="center"/>
    </xf>
    <xf numFmtId="165" fontId="0" fillId="0" borderId="65" xfId="1" applyNumberFormat="1" applyFont="1" applyFill="1" applyBorder="1" applyAlignment="1">
      <alignment horizontal="center" vertical="center"/>
    </xf>
    <xf numFmtId="0" fontId="0" fillId="0" borderId="66" xfId="0" applyBorder="1" applyAlignment="1">
      <alignment horizontal="left" wrapText="1"/>
    </xf>
    <xf numFmtId="0" fontId="3" fillId="10" borderId="69" xfId="0" applyFont="1" applyFill="1" applyBorder="1" applyAlignment="1">
      <alignment horizontal="center" vertical="center"/>
    </xf>
    <xf numFmtId="165" fontId="0" fillId="0" borderId="68" xfId="1" applyNumberFormat="1" applyFont="1" applyFill="1" applyBorder="1" applyAlignment="1">
      <alignment horizontal="center" vertical="center"/>
    </xf>
    <xf numFmtId="165" fontId="0" fillId="0" borderId="70" xfId="1" applyNumberFormat="1" applyFont="1" applyFill="1" applyBorder="1" applyAlignment="1">
      <alignment horizontal="center" vertical="center"/>
    </xf>
    <xf numFmtId="0" fontId="0" fillId="0" borderId="71" xfId="0" applyBorder="1" applyAlignment="1">
      <alignment horizontal="left" wrapText="1"/>
    </xf>
    <xf numFmtId="0" fontId="3" fillId="10" borderId="74" xfId="0" applyFont="1" applyFill="1" applyBorder="1" applyAlignment="1">
      <alignment horizontal="center" vertical="center"/>
    </xf>
    <xf numFmtId="165" fontId="0" fillId="0" borderId="73" xfId="1" applyNumberFormat="1" applyFont="1" applyFill="1" applyBorder="1" applyAlignment="1">
      <alignment horizontal="center" vertical="center"/>
    </xf>
    <xf numFmtId="165" fontId="0" fillId="0" borderId="75" xfId="1" applyNumberFormat="1" applyFont="1" applyFill="1" applyBorder="1" applyAlignment="1">
      <alignment horizontal="center" vertical="center"/>
    </xf>
    <xf numFmtId="0" fontId="0" fillId="0" borderId="76" xfId="0" applyBorder="1" applyAlignment="1">
      <alignment horizontal="left" wrapText="1"/>
    </xf>
    <xf numFmtId="0" fontId="3" fillId="2" borderId="14" xfId="0" applyFont="1" applyFill="1" applyBorder="1" applyAlignment="1">
      <alignment horizontal="center" vertical="center"/>
    </xf>
    <xf numFmtId="0" fontId="3" fillId="2" borderId="41" xfId="0" applyFont="1" applyFill="1" applyBorder="1" applyAlignment="1">
      <alignment horizontal="center" vertical="center"/>
    </xf>
    <xf numFmtId="165" fontId="3" fillId="0" borderId="14" xfId="1" applyNumberFormat="1" applyFont="1" applyFill="1" applyBorder="1" applyAlignment="1">
      <alignment horizontal="center" vertical="center"/>
    </xf>
    <xf numFmtId="165" fontId="3" fillId="0" borderId="15" xfId="1" applyNumberFormat="1" applyFont="1" applyFill="1" applyBorder="1" applyAlignment="1">
      <alignment horizontal="center" vertical="center"/>
    </xf>
    <xf numFmtId="0" fontId="0" fillId="0" borderId="32" xfId="0" applyBorder="1" applyAlignment="1">
      <alignment horizontal="left" wrapText="1"/>
    </xf>
    <xf numFmtId="0" fontId="0" fillId="11" borderId="63" xfId="0" applyFill="1" applyBorder="1" applyAlignment="1">
      <alignment horizontal="center" vertical="center"/>
    </xf>
    <xf numFmtId="0" fontId="0" fillId="11" borderId="64" xfId="0" applyFill="1" applyBorder="1" applyAlignment="1">
      <alignment horizontal="center" vertical="center"/>
    </xf>
    <xf numFmtId="0" fontId="0" fillId="11" borderId="68" xfId="0" applyFill="1" applyBorder="1" applyAlignment="1">
      <alignment horizontal="center" vertical="center"/>
    </xf>
    <xf numFmtId="0" fontId="0" fillId="11" borderId="69" xfId="0" applyFill="1" applyBorder="1" applyAlignment="1">
      <alignment horizontal="center" vertical="center"/>
    </xf>
    <xf numFmtId="0" fontId="0" fillId="11" borderId="73" xfId="0" applyFill="1" applyBorder="1" applyAlignment="1">
      <alignment horizontal="center" vertical="center"/>
    </xf>
    <xf numFmtId="0" fontId="0" fillId="11" borderId="74" xfId="0" applyFill="1" applyBorder="1" applyAlignment="1">
      <alignment horizontal="center" vertical="center"/>
    </xf>
    <xf numFmtId="0" fontId="3" fillId="9" borderId="14" xfId="0" applyFont="1" applyFill="1" applyBorder="1" applyAlignment="1">
      <alignment horizontal="center" vertical="center"/>
    </xf>
    <xf numFmtId="0" fontId="3" fillId="9" borderId="41" xfId="0" applyFont="1" applyFill="1" applyBorder="1" applyAlignment="1">
      <alignment horizontal="center" vertical="center"/>
    </xf>
    <xf numFmtId="0" fontId="0" fillId="10" borderId="63" xfId="0" applyFill="1" applyBorder="1" applyAlignment="1">
      <alignment horizontal="center" vertical="center"/>
    </xf>
    <xf numFmtId="0" fontId="0" fillId="10" borderId="64" xfId="0" applyFill="1" applyBorder="1" applyAlignment="1">
      <alignment horizontal="center" vertical="center"/>
    </xf>
    <xf numFmtId="165" fontId="1" fillId="0" borderId="63" xfId="1" applyNumberFormat="1" applyFont="1" applyFill="1" applyBorder="1" applyAlignment="1">
      <alignment horizontal="center" vertical="center"/>
    </xf>
    <xf numFmtId="165" fontId="1" fillId="0" borderId="65" xfId="1" applyNumberFormat="1" applyFont="1" applyFill="1" applyBorder="1" applyAlignment="1">
      <alignment horizontal="center" vertical="center"/>
    </xf>
    <xf numFmtId="0" fontId="0" fillId="10" borderId="68" xfId="0" applyFill="1" applyBorder="1" applyAlignment="1">
      <alignment horizontal="center" vertical="center"/>
    </xf>
    <xf numFmtId="0" fontId="0" fillId="10" borderId="69" xfId="0" applyFill="1" applyBorder="1" applyAlignment="1">
      <alignment horizontal="center" vertical="center"/>
    </xf>
    <xf numFmtId="165" fontId="1" fillId="0" borderId="68" xfId="1" applyNumberFormat="1" applyFont="1" applyFill="1" applyBorder="1" applyAlignment="1">
      <alignment horizontal="center" vertical="center"/>
    </xf>
    <xf numFmtId="165" fontId="1" fillId="0" borderId="70" xfId="1" applyNumberFormat="1" applyFont="1" applyFill="1" applyBorder="1" applyAlignment="1">
      <alignment horizontal="center" vertical="center"/>
    </xf>
    <xf numFmtId="0" fontId="0" fillId="10" borderId="73" xfId="0" applyFill="1" applyBorder="1" applyAlignment="1">
      <alignment horizontal="center" vertical="center"/>
    </xf>
    <xf numFmtId="0" fontId="0" fillId="10" borderId="74" xfId="0" applyFill="1" applyBorder="1" applyAlignment="1">
      <alignment horizontal="center" vertical="center"/>
    </xf>
    <xf numFmtId="165" fontId="1" fillId="0" borderId="73" xfId="1" applyNumberFormat="1" applyFont="1" applyFill="1" applyBorder="1" applyAlignment="1">
      <alignment horizontal="center" vertical="center"/>
    </xf>
    <xf numFmtId="165" fontId="1" fillId="0" borderId="75" xfId="1" applyNumberFormat="1" applyFont="1" applyFill="1" applyBorder="1" applyAlignment="1">
      <alignment horizontal="center" vertical="center"/>
    </xf>
    <xf numFmtId="0" fontId="3" fillId="9" borderId="44" xfId="0" applyFont="1" applyFill="1" applyBorder="1" applyAlignment="1">
      <alignment horizontal="center" vertical="center"/>
    </xf>
    <xf numFmtId="0" fontId="3" fillId="9" borderId="48" xfId="0" applyFont="1" applyFill="1" applyBorder="1" applyAlignment="1">
      <alignment horizontal="center" vertical="center"/>
    </xf>
    <xf numFmtId="0" fontId="3" fillId="8" borderId="44" xfId="0" applyFont="1" applyFill="1" applyBorder="1" applyAlignment="1">
      <alignment horizontal="center" vertical="center"/>
    </xf>
    <xf numFmtId="0" fontId="3" fillId="8" borderId="48" xfId="0" applyFont="1" applyFill="1"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165" fontId="0" fillId="0" borderId="78" xfId="1" applyNumberFormat="1" applyFont="1" applyFill="1" applyBorder="1" applyAlignment="1">
      <alignment horizontal="center" vertical="center"/>
    </xf>
    <xf numFmtId="165" fontId="0" fillId="0" borderId="80" xfId="1" applyNumberFormat="1" applyFont="1" applyFill="1" applyBorder="1" applyAlignment="1">
      <alignment horizontal="center" vertical="center"/>
    </xf>
    <xf numFmtId="0" fontId="0" fillId="0" borderId="81" xfId="0" applyBorder="1" applyAlignment="1">
      <alignment horizontal="left" wrapText="1"/>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10" fontId="0" fillId="0" borderId="78" xfId="2" applyNumberFormat="1" applyFont="1" applyFill="1" applyBorder="1" applyAlignment="1">
      <alignment horizontal="center" vertical="center"/>
    </xf>
    <xf numFmtId="10" fontId="0" fillId="0" borderId="80" xfId="2" applyNumberFormat="1" applyFont="1" applyFill="1" applyBorder="1" applyAlignment="1">
      <alignment horizontal="center" vertical="center"/>
    </xf>
    <xf numFmtId="166" fontId="0" fillId="0" borderId="68" xfId="1" applyNumberFormat="1" applyFont="1" applyFill="1" applyBorder="1" applyAlignment="1">
      <alignment horizontal="center" vertical="center"/>
    </xf>
    <xf numFmtId="166" fontId="0" fillId="0" borderId="70" xfId="1" applyNumberFormat="1" applyFont="1" applyFill="1" applyBorder="1" applyAlignment="1">
      <alignment horizontal="center" vertical="center"/>
    </xf>
    <xf numFmtId="0" fontId="0" fillId="0" borderId="77" xfId="0" applyBorder="1" applyAlignment="1">
      <alignment horizontal="left" vertical="center" indent="2"/>
    </xf>
    <xf numFmtId="0" fontId="0" fillId="0" borderId="67" xfId="0" applyBorder="1" applyAlignment="1">
      <alignment horizontal="left" vertical="center" indent="2"/>
    </xf>
    <xf numFmtId="0" fontId="0" fillId="0" borderId="72" xfId="0" applyBorder="1" applyAlignment="1">
      <alignment horizontal="left" vertical="center" indent="2"/>
    </xf>
    <xf numFmtId="0" fontId="0" fillId="0" borderId="77" xfId="0" applyBorder="1" applyAlignment="1">
      <alignment horizontal="left" vertical="center" indent="3"/>
    </xf>
    <xf numFmtId="0" fontId="0" fillId="0" borderId="67" xfId="0" applyBorder="1" applyAlignment="1">
      <alignment horizontal="left" vertical="center" indent="3"/>
    </xf>
    <xf numFmtId="0" fontId="0" fillId="0" borderId="72" xfId="0" applyBorder="1" applyAlignment="1">
      <alignment horizontal="left" vertical="center" indent="3"/>
    </xf>
    <xf numFmtId="0" fontId="3" fillId="5" borderId="2" xfId="0" applyFont="1" applyFill="1" applyBorder="1" applyAlignment="1">
      <alignment horizontal="left" vertical="center" indent="1"/>
    </xf>
    <xf numFmtId="0" fontId="3" fillId="5" borderId="19" xfId="0" applyFont="1" applyFill="1" applyBorder="1" applyAlignment="1">
      <alignment horizontal="left" vertical="center" indent="1"/>
    </xf>
    <xf numFmtId="0" fontId="3" fillId="9" borderId="43" xfId="0" applyFont="1" applyFill="1" applyBorder="1" applyAlignment="1">
      <alignment horizontal="left" vertical="center" indent="2"/>
    </xf>
    <xf numFmtId="0" fontId="0" fillId="0" borderId="19" xfId="0" applyBorder="1" applyAlignment="1">
      <alignment horizontal="left" vertical="center" indent="1"/>
    </xf>
    <xf numFmtId="0" fontId="0" fillId="0" borderId="19" xfId="0" applyBorder="1" applyAlignment="1">
      <alignment horizontal="left" vertical="center" indent="3"/>
    </xf>
    <xf numFmtId="0" fontId="3" fillId="8" borderId="43" xfId="0" applyFont="1" applyFill="1" applyBorder="1" applyAlignment="1">
      <alignment horizontal="left" vertical="center" indent="3"/>
    </xf>
    <xf numFmtId="0" fontId="0" fillId="10" borderId="62" xfId="0" applyFill="1" applyBorder="1" applyAlignment="1">
      <alignment horizontal="left" vertical="center" indent="5"/>
    </xf>
    <xf numFmtId="0" fontId="0" fillId="10" borderId="67" xfId="0" applyFill="1" applyBorder="1" applyAlignment="1">
      <alignment horizontal="left" vertical="center" indent="5"/>
    </xf>
    <xf numFmtId="0" fontId="0" fillId="10" borderId="72" xfId="0" applyFill="1" applyBorder="1" applyAlignment="1">
      <alignment horizontal="left" vertical="center" indent="5"/>
    </xf>
    <xf numFmtId="0" fontId="3" fillId="9" borderId="13" xfId="0" applyFont="1" applyFill="1" applyBorder="1" applyAlignment="1">
      <alignment horizontal="left" vertical="center" indent="2"/>
    </xf>
    <xf numFmtId="0" fontId="3" fillId="2" borderId="13" xfId="0" applyFont="1" applyFill="1" applyBorder="1" applyAlignment="1">
      <alignment horizontal="left" vertical="center" indent="4"/>
    </xf>
    <xf numFmtId="0" fontId="0" fillId="11" borderId="62" xfId="0" applyFill="1" applyBorder="1" applyAlignment="1">
      <alignment horizontal="left" vertical="center" indent="5"/>
    </xf>
    <xf numFmtId="0" fontId="0" fillId="11" borderId="67" xfId="0" applyFill="1" applyBorder="1" applyAlignment="1">
      <alignment horizontal="left" vertical="center" indent="5"/>
    </xf>
    <xf numFmtId="0" fontId="0" fillId="11" borderId="72" xfId="0" applyFill="1" applyBorder="1" applyAlignment="1">
      <alignment horizontal="left" vertical="center" indent="5"/>
    </xf>
    <xf numFmtId="0" fontId="3" fillId="7" borderId="19" xfId="0" applyFont="1" applyFill="1" applyBorder="1" applyAlignment="1">
      <alignment horizontal="left" vertical="center" indent="4"/>
    </xf>
    <xf numFmtId="0" fontId="3" fillId="5" borderId="10" xfId="0" applyFont="1" applyFill="1" applyBorder="1" applyAlignment="1">
      <alignment horizontal="left" vertical="center" indent="1"/>
    </xf>
    <xf numFmtId="0" fontId="0" fillId="0" borderId="7" xfId="0" applyBorder="1" applyAlignment="1">
      <alignment horizontal="left" vertical="center" indent="1"/>
    </xf>
    <xf numFmtId="0" fontId="20" fillId="0" borderId="16" xfId="0" applyFont="1" applyBorder="1" applyAlignment="1">
      <alignment horizontal="left" vertical="center" indent="1"/>
    </xf>
    <xf numFmtId="0" fontId="0" fillId="0" borderId="10" xfId="0" applyBorder="1" applyAlignment="1">
      <alignment horizontal="left" vertical="center" indent="1"/>
    </xf>
    <xf numFmtId="166" fontId="0" fillId="0" borderId="20" xfId="1" applyNumberFormat="1" applyFont="1" applyFill="1" applyBorder="1" applyAlignment="1">
      <alignment horizontal="center" vertical="center"/>
    </xf>
    <xf numFmtId="0" fontId="3" fillId="0" borderId="20" xfId="1" applyNumberFormat="1" applyFont="1" applyFill="1" applyBorder="1" applyAlignment="1">
      <alignment horizontal="center" vertical="center" wrapText="1"/>
    </xf>
    <xf numFmtId="0" fontId="3" fillId="6" borderId="16" xfId="0" applyFont="1" applyFill="1" applyBorder="1" applyAlignment="1">
      <alignment vertical="center"/>
    </xf>
    <xf numFmtId="0" fontId="3" fillId="6" borderId="17" xfId="0" applyFont="1" applyFill="1" applyBorder="1" applyAlignment="1">
      <alignment horizontal="center" vertical="center"/>
    </xf>
    <xf numFmtId="0" fontId="3" fillId="0" borderId="37" xfId="1" applyNumberFormat="1" applyFont="1" applyFill="1" applyBorder="1" applyAlignment="1">
      <alignment horizontal="center" vertical="center" wrapText="1"/>
    </xf>
    <xf numFmtId="0" fontId="3" fillId="6" borderId="16" xfId="0" applyFont="1" applyFill="1" applyBorder="1"/>
    <xf numFmtId="0" fontId="3" fillId="6" borderId="18" xfId="0" applyFont="1" applyFill="1" applyBorder="1" applyAlignment="1">
      <alignment horizontal="center" vertical="center"/>
    </xf>
    <xf numFmtId="0" fontId="3" fillId="5" borderId="10" xfId="0" applyFont="1" applyFill="1" applyBorder="1" applyAlignment="1">
      <alignment horizontal="left" indent="1"/>
    </xf>
    <xf numFmtId="0" fontId="3" fillId="5" borderId="2" xfId="0" applyFont="1" applyFill="1" applyBorder="1" applyAlignment="1">
      <alignment horizontal="left" indent="1"/>
    </xf>
    <xf numFmtId="0" fontId="3" fillId="5" borderId="19" xfId="0" applyFont="1" applyFill="1" applyBorder="1" applyAlignment="1">
      <alignment horizontal="left" indent="1"/>
    </xf>
    <xf numFmtId="0" fontId="0" fillId="0" borderId="77" xfId="0" applyBorder="1" applyAlignment="1">
      <alignment horizontal="left" indent="3"/>
    </xf>
    <xf numFmtId="165" fontId="22" fillId="0" borderId="77" xfId="1" applyNumberFormat="1" applyFont="1" applyFill="1" applyBorder="1" applyAlignment="1">
      <alignment horizontal="center" vertical="center"/>
    </xf>
    <xf numFmtId="165" fontId="22" fillId="0" borderId="78" xfId="1" applyNumberFormat="1" applyFont="1" applyFill="1" applyBorder="1" applyAlignment="1">
      <alignment horizontal="center" vertical="center"/>
    </xf>
    <xf numFmtId="165" fontId="22" fillId="0" borderId="80" xfId="1" applyNumberFormat="1" applyFont="1" applyFill="1" applyBorder="1" applyAlignment="1">
      <alignment horizontal="center" vertical="center"/>
    </xf>
    <xf numFmtId="0" fontId="0" fillId="0" borderId="82" xfId="1" applyNumberFormat="1" applyFont="1" applyBorder="1" applyAlignment="1">
      <alignment horizontal="left" vertical="center" indent="1"/>
    </xf>
    <xf numFmtId="0" fontId="0" fillId="0" borderId="67" xfId="0" applyBorder="1" applyAlignment="1">
      <alignment horizontal="left" indent="3"/>
    </xf>
    <xf numFmtId="165" fontId="22" fillId="0" borderId="67" xfId="1" applyNumberFormat="1" applyFont="1" applyFill="1" applyBorder="1" applyAlignment="1">
      <alignment horizontal="center" vertical="center"/>
    </xf>
    <xf numFmtId="165" fontId="22" fillId="0" borderId="68" xfId="1" applyNumberFormat="1" applyFont="1" applyFill="1" applyBorder="1" applyAlignment="1">
      <alignment horizontal="center" vertical="center"/>
    </xf>
    <xf numFmtId="165" fontId="22" fillId="0" borderId="70" xfId="1" applyNumberFormat="1" applyFont="1" applyFill="1" applyBorder="1" applyAlignment="1">
      <alignment horizontal="center" vertical="center"/>
    </xf>
    <xf numFmtId="0" fontId="0" fillId="0" borderId="83" xfId="1" applyNumberFormat="1" applyFont="1" applyBorder="1" applyAlignment="1">
      <alignment horizontal="left" vertical="center" indent="1"/>
    </xf>
    <xf numFmtId="0" fontId="0" fillId="0" borderId="72" xfId="0" applyBorder="1" applyAlignment="1">
      <alignment horizontal="left" indent="3"/>
    </xf>
    <xf numFmtId="165" fontId="22" fillId="0" borderId="72" xfId="1" applyNumberFormat="1" applyFont="1" applyFill="1" applyBorder="1" applyAlignment="1">
      <alignment horizontal="center" vertical="center"/>
    </xf>
    <xf numFmtId="165" fontId="22" fillId="0" borderId="73" xfId="1" applyNumberFormat="1" applyFont="1" applyFill="1" applyBorder="1" applyAlignment="1">
      <alignment horizontal="center" vertical="center"/>
    </xf>
    <xf numFmtId="165" fontId="22" fillId="0" borderId="75" xfId="1" applyNumberFormat="1" applyFont="1" applyFill="1" applyBorder="1" applyAlignment="1">
      <alignment horizontal="center" vertical="center"/>
    </xf>
    <xf numFmtId="0" fontId="0" fillId="0" borderId="84" xfId="1" applyNumberFormat="1" applyFont="1" applyBorder="1" applyAlignment="1">
      <alignment horizontal="left" vertical="center" indent="1"/>
    </xf>
    <xf numFmtId="0" fontId="20" fillId="6" borderId="35" xfId="1" applyNumberFormat="1" applyFont="1" applyFill="1" applyBorder="1" applyAlignment="1">
      <alignment horizontal="left" vertical="center" indent="1"/>
    </xf>
    <xf numFmtId="165" fontId="3" fillId="0" borderId="13" xfId="1" applyNumberFormat="1" applyFont="1" applyFill="1" applyBorder="1" applyAlignment="1">
      <alignment horizontal="center" vertical="center"/>
    </xf>
    <xf numFmtId="0" fontId="3" fillId="2" borderId="31" xfId="1" applyNumberFormat="1" applyFont="1" applyFill="1" applyBorder="1" applyAlignment="1">
      <alignment horizontal="left" vertical="center" wrapText="1" indent="1"/>
    </xf>
    <xf numFmtId="0" fontId="0" fillId="11" borderId="66" xfId="1" applyNumberFormat="1" applyFont="1" applyFill="1" applyBorder="1" applyAlignment="1">
      <alignment horizontal="left" vertical="center" wrapText="1" indent="1"/>
    </xf>
    <xf numFmtId="0" fontId="0" fillId="11" borderId="71" xfId="1" applyNumberFormat="1" applyFont="1" applyFill="1" applyBorder="1" applyAlignment="1">
      <alignment horizontal="left" vertical="center" wrapText="1" indent="1"/>
    </xf>
    <xf numFmtId="0" fontId="0" fillId="11" borderId="76" xfId="1" applyNumberFormat="1" applyFont="1" applyFill="1" applyBorder="1" applyAlignment="1">
      <alignment horizontal="left" vertical="center" wrapText="1" indent="1"/>
    </xf>
    <xf numFmtId="0" fontId="3" fillId="9" borderId="31" xfId="1" applyNumberFormat="1" applyFont="1" applyFill="1" applyBorder="1" applyAlignment="1">
      <alignment horizontal="left" vertical="center" wrapText="1" indent="1"/>
    </xf>
    <xf numFmtId="0" fontId="1" fillId="10" borderId="66" xfId="1" applyNumberFormat="1" applyFont="1" applyFill="1" applyBorder="1" applyAlignment="1">
      <alignment horizontal="left" vertical="center" wrapText="1" indent="1"/>
    </xf>
    <xf numFmtId="0" fontId="1" fillId="10" borderId="71" xfId="1" applyNumberFormat="1" applyFont="1" applyFill="1" applyBorder="1" applyAlignment="1">
      <alignment horizontal="left" vertical="center" wrapText="1" indent="1"/>
    </xf>
    <xf numFmtId="0" fontId="1" fillId="10" borderId="76" xfId="1" applyNumberFormat="1" applyFont="1" applyFill="1" applyBorder="1" applyAlignment="1">
      <alignment horizontal="left" vertical="center" wrapText="1" indent="1"/>
    </xf>
    <xf numFmtId="0" fontId="1" fillId="11" borderId="66" xfId="1" applyNumberFormat="1" applyFont="1" applyFill="1" applyBorder="1" applyAlignment="1">
      <alignment horizontal="left" vertical="center" wrapText="1" indent="1"/>
    </xf>
    <xf numFmtId="0" fontId="1" fillId="11" borderId="71" xfId="1" applyNumberFormat="1" applyFont="1" applyFill="1" applyBorder="1" applyAlignment="1">
      <alignment horizontal="left" vertical="center" wrapText="1" indent="1"/>
    </xf>
    <xf numFmtId="0" fontId="1" fillId="11" borderId="76" xfId="1" applyNumberFormat="1" applyFont="1" applyFill="1" applyBorder="1" applyAlignment="1">
      <alignment horizontal="left" vertical="center" wrapText="1" indent="1"/>
    </xf>
    <xf numFmtId="165" fontId="3" fillId="0" borderId="10" xfId="1" applyNumberFormat="1" applyFont="1" applyFill="1"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6" xfId="1" applyNumberFormat="1" applyFont="1" applyBorder="1" applyAlignment="1">
      <alignment horizontal="left" vertical="center" wrapText="1" indent="1"/>
    </xf>
    <xf numFmtId="0" fontId="0" fillId="0" borderId="71" xfId="1" applyNumberFormat="1" applyFont="1" applyBorder="1" applyAlignment="1">
      <alignment horizontal="left" vertical="center" wrapText="1" indent="1"/>
    </xf>
    <xf numFmtId="0" fontId="0" fillId="0" borderId="76" xfId="1" applyNumberFormat="1" applyFont="1" applyBorder="1" applyAlignment="1">
      <alignment horizontal="left" vertical="center" wrapText="1" indent="1"/>
    </xf>
    <xf numFmtId="0" fontId="0" fillId="0" borderId="66" xfId="2" applyNumberFormat="1" applyFont="1" applyBorder="1" applyAlignment="1">
      <alignment horizontal="left" vertical="center" wrapText="1" indent="1"/>
    </xf>
    <xf numFmtId="166" fontId="0" fillId="0" borderId="67" xfId="1" applyNumberFormat="1" applyFont="1" applyFill="1" applyBorder="1" applyAlignment="1">
      <alignment horizontal="center" vertical="center"/>
    </xf>
    <xf numFmtId="165" fontId="0" fillId="0" borderId="67" xfId="1" applyNumberFormat="1" applyFont="1" applyFill="1" applyBorder="1" applyAlignment="1">
      <alignment horizontal="center" vertical="center"/>
    </xf>
    <xf numFmtId="165" fontId="0" fillId="0" borderId="72" xfId="1" applyNumberFormat="1" applyFont="1" applyFill="1" applyBorder="1" applyAlignment="1">
      <alignment horizontal="center" vertical="center"/>
    </xf>
    <xf numFmtId="0" fontId="3" fillId="6" borderId="36" xfId="0" applyFont="1" applyFill="1" applyBorder="1" applyAlignment="1">
      <alignment horizontal="center" vertical="center"/>
    </xf>
    <xf numFmtId="0" fontId="20" fillId="6" borderId="17" xfId="0" applyFont="1" applyFill="1" applyBorder="1" applyAlignment="1">
      <alignment horizontal="center" vertical="center"/>
    </xf>
    <xf numFmtId="0" fontId="20" fillId="6" borderId="36" xfId="0" applyFont="1" applyFill="1" applyBorder="1" applyAlignment="1">
      <alignment horizontal="center" vertical="center"/>
    </xf>
    <xf numFmtId="0" fontId="20" fillId="6" borderId="8" xfId="0" applyFont="1" applyFill="1" applyBorder="1" applyAlignment="1">
      <alignment horizontal="center" vertical="center"/>
    </xf>
    <xf numFmtId="0" fontId="20" fillId="6" borderId="39" xfId="0" applyFont="1" applyFill="1" applyBorder="1" applyAlignment="1">
      <alignment horizontal="center" vertical="center"/>
    </xf>
    <xf numFmtId="0" fontId="20" fillId="6" borderId="26" xfId="1" applyNumberFormat="1" applyFont="1" applyFill="1" applyBorder="1" applyAlignment="1">
      <alignment horizontal="left" vertical="center" wrapText="1" indent="1"/>
    </xf>
    <xf numFmtId="0" fontId="20" fillId="6" borderId="25" xfId="1" applyNumberFormat="1" applyFont="1" applyFill="1" applyBorder="1" applyAlignment="1">
      <alignment horizontal="left" vertical="center" wrapText="1" indent="1"/>
    </xf>
    <xf numFmtId="0" fontId="3" fillId="6" borderId="25" xfId="1" applyNumberFormat="1" applyFont="1" applyFill="1" applyBorder="1" applyAlignment="1">
      <alignment horizontal="left" vertical="center" wrapText="1" indent="1"/>
    </xf>
    <xf numFmtId="0" fontId="3" fillId="6" borderId="16" xfId="0" applyFont="1" applyFill="1" applyBorder="1" applyAlignment="1">
      <alignment horizontal="left" indent="1"/>
    </xf>
    <xf numFmtId="0" fontId="0" fillId="0" borderId="19" xfId="0" applyBorder="1" applyAlignment="1">
      <alignment horizontal="left" indent="1"/>
    </xf>
    <xf numFmtId="0" fontId="0" fillId="0" borderId="10" xfId="0" applyBorder="1" applyAlignment="1">
      <alignment horizontal="left" indent="1"/>
    </xf>
    <xf numFmtId="0" fontId="0" fillId="0" borderId="7" xfId="0" applyBorder="1" applyAlignment="1">
      <alignment horizontal="left" indent="1"/>
    </xf>
    <xf numFmtId="0" fontId="3" fillId="5" borderId="28" xfId="1" applyNumberFormat="1" applyFont="1" applyFill="1" applyBorder="1" applyAlignment="1">
      <alignment horizontal="left" vertical="center" wrapText="1" indent="1"/>
    </xf>
    <xf numFmtId="0" fontId="0" fillId="10" borderId="0" xfId="0" applyFill="1" applyAlignment="1">
      <alignment horizontal="left" vertical="center" indent="3"/>
    </xf>
    <xf numFmtId="0" fontId="3" fillId="2" borderId="0" xfId="0" applyFont="1" applyFill="1" applyAlignment="1">
      <alignment horizontal="left" vertical="center" indent="2"/>
    </xf>
    <xf numFmtId="0" fontId="3" fillId="8" borderId="0" xfId="0" applyFont="1" applyFill="1" applyAlignment="1">
      <alignment horizontal="left" vertical="center" indent="1"/>
    </xf>
    <xf numFmtId="0" fontId="3" fillId="7" borderId="0" xfId="0" applyFont="1" applyFill="1" applyAlignment="1">
      <alignment horizontal="left" vertical="center" indent="2"/>
    </xf>
    <xf numFmtId="0" fontId="0" fillId="11" borderId="0" xfId="0" applyFill="1" applyAlignment="1">
      <alignment horizontal="left" vertical="center" indent="3"/>
    </xf>
    <xf numFmtId="0" fontId="3" fillId="9" borderId="0" xfId="0" applyFont="1" applyFill="1" applyAlignment="1">
      <alignment horizontal="left" vertical="center" indent="2"/>
    </xf>
    <xf numFmtId="0" fontId="3" fillId="5" borderId="0" xfId="0" applyFont="1" applyFill="1" applyAlignment="1">
      <alignment horizontal="left" vertical="center" indent="1"/>
    </xf>
    <xf numFmtId="0" fontId="3" fillId="6" borderId="0" xfId="0" applyFont="1" applyFill="1" applyAlignment="1">
      <alignment vertical="center"/>
    </xf>
    <xf numFmtId="165" fontId="20" fillId="0" borderId="7" xfId="1" applyNumberFormat="1" applyFont="1" applyFill="1" applyBorder="1" applyAlignment="1">
      <alignment horizontal="center" vertical="center"/>
    </xf>
    <xf numFmtId="165" fontId="20" fillId="0" borderId="8" xfId="1" applyNumberFormat="1" applyFont="1" applyFill="1" applyBorder="1" applyAlignment="1">
      <alignment horizontal="center" vertical="center"/>
    </xf>
    <xf numFmtId="165" fontId="20" fillId="0" borderId="9" xfId="1" applyNumberFormat="1" applyFont="1" applyFill="1" applyBorder="1" applyAlignment="1">
      <alignment horizontal="center" vertical="center"/>
    </xf>
    <xf numFmtId="0" fontId="20" fillId="6" borderId="16" xfId="0" applyFont="1" applyFill="1" applyBorder="1"/>
    <xf numFmtId="0" fontId="20" fillId="6" borderId="7" xfId="0" applyFont="1" applyFill="1" applyBorder="1"/>
    <xf numFmtId="0" fontId="3" fillId="0" borderId="16" xfId="0" applyFont="1" applyBorder="1" applyAlignment="1">
      <alignment horizontal="left" indent="1"/>
    </xf>
    <xf numFmtId="0" fontId="3" fillId="0" borderId="16" xfId="0" applyFont="1" applyBorder="1" applyAlignment="1">
      <alignment horizontal="center" vertical="center"/>
    </xf>
    <xf numFmtId="0" fontId="3" fillId="0" borderId="18" xfId="0" applyFont="1" applyBorder="1" applyAlignment="1">
      <alignment horizontal="center" vertical="center"/>
    </xf>
    <xf numFmtId="165" fontId="0" fillId="20" borderId="67" xfId="1" applyNumberFormat="1" applyFont="1" applyFill="1" applyBorder="1" applyAlignment="1" applyProtection="1">
      <alignment horizontal="center" vertical="center"/>
      <protection locked="0"/>
    </xf>
    <xf numFmtId="165" fontId="0" fillId="20" borderId="68" xfId="1" applyNumberFormat="1" applyFont="1" applyFill="1" applyBorder="1" applyAlignment="1" applyProtection="1">
      <alignment horizontal="center" vertical="center"/>
      <protection locked="0"/>
    </xf>
    <xf numFmtId="165" fontId="0" fillId="20" borderId="70" xfId="1" applyNumberFormat="1" applyFont="1" applyFill="1" applyBorder="1" applyAlignment="1" applyProtection="1">
      <alignment horizontal="center" vertical="center"/>
      <protection locked="0"/>
    </xf>
    <xf numFmtId="165" fontId="0" fillId="20" borderId="73" xfId="1" applyNumberFormat="1" applyFont="1" applyFill="1" applyBorder="1" applyAlignment="1" applyProtection="1">
      <alignment horizontal="center" vertical="center"/>
      <protection locked="0"/>
    </xf>
    <xf numFmtId="171" fontId="3" fillId="20" borderId="19" xfId="2" applyNumberFormat="1" applyFont="1" applyFill="1" applyBorder="1" applyAlignment="1" applyProtection="1">
      <alignment horizontal="center" vertical="center"/>
      <protection locked="0"/>
    </xf>
    <xf numFmtId="171" fontId="1" fillId="20" borderId="19" xfId="2" quotePrefix="1" applyNumberFormat="1" applyFont="1" applyFill="1" applyBorder="1" applyAlignment="1" applyProtection="1">
      <alignment horizontal="center" vertical="center"/>
      <protection locked="0"/>
    </xf>
    <xf numFmtId="165" fontId="1" fillId="20" borderId="67" xfId="1" applyNumberFormat="1" applyFont="1" applyFill="1" applyBorder="1" applyAlignment="1" applyProtection="1">
      <alignment horizontal="center" vertical="center"/>
      <protection locked="0"/>
    </xf>
    <xf numFmtId="10" fontId="0" fillId="20" borderId="62" xfId="2" applyNumberFormat="1" applyFont="1" applyFill="1" applyBorder="1" applyAlignment="1" applyProtection="1">
      <alignment horizontal="center" vertical="center"/>
      <protection locked="0"/>
    </xf>
    <xf numFmtId="165" fontId="3" fillId="20" borderId="2" xfId="1" applyNumberFormat="1" applyFont="1" applyFill="1" applyBorder="1" applyAlignment="1" applyProtection="1">
      <alignment horizontal="center" vertical="center"/>
      <protection locked="0"/>
    </xf>
    <xf numFmtId="165" fontId="3" fillId="20" borderId="1" xfId="1" applyNumberFormat="1" applyFont="1" applyFill="1" applyBorder="1" applyAlignment="1" applyProtection="1">
      <alignment horizontal="center" vertical="center"/>
      <protection locked="0"/>
    </xf>
    <xf numFmtId="165" fontId="3" fillId="20" borderId="3" xfId="1" applyNumberFormat="1" applyFont="1" applyFill="1" applyBorder="1" applyAlignment="1" applyProtection="1">
      <alignment horizontal="center" vertical="center"/>
      <protection locked="0"/>
    </xf>
    <xf numFmtId="166" fontId="0" fillId="20" borderId="1" xfId="1" applyNumberFormat="1" applyFont="1" applyFill="1" applyBorder="1" applyAlignment="1" applyProtection="1">
      <alignment horizontal="center" vertical="center"/>
      <protection locked="0"/>
    </xf>
    <xf numFmtId="165" fontId="0" fillId="20" borderId="1" xfId="1" applyNumberFormat="1" applyFont="1" applyFill="1" applyBorder="1" applyAlignment="1" applyProtection="1">
      <alignment horizontal="center" vertical="center"/>
      <protection locked="0"/>
    </xf>
    <xf numFmtId="165" fontId="20" fillId="20" borderId="7" xfId="1" applyNumberFormat="1" applyFont="1" applyFill="1" applyBorder="1" applyAlignment="1" applyProtection="1">
      <alignment horizontal="center" vertical="center"/>
      <protection locked="0"/>
    </xf>
    <xf numFmtId="165" fontId="20" fillId="20" borderId="8" xfId="1" applyNumberFormat="1" applyFont="1" applyFill="1" applyBorder="1" applyAlignment="1" applyProtection="1">
      <alignment horizontal="center" vertical="center"/>
      <protection locked="0"/>
    </xf>
    <xf numFmtId="10" fontId="0" fillId="20" borderId="7" xfId="0" applyNumberFormat="1" applyFill="1" applyBorder="1" applyAlignment="1" applyProtection="1">
      <alignment horizontal="center" vertical="center"/>
      <protection locked="0"/>
    </xf>
    <xf numFmtId="10" fontId="0" fillId="20" borderId="8" xfId="0" applyNumberFormat="1" applyFill="1" applyBorder="1" applyAlignment="1" applyProtection="1">
      <alignment horizontal="center" vertical="center"/>
      <protection locked="0"/>
    </xf>
    <xf numFmtId="170" fontId="20" fillId="20" borderId="7" xfId="0" applyNumberFormat="1" applyFont="1" applyFill="1" applyBorder="1" applyAlignment="1" applyProtection="1">
      <alignment horizontal="center" vertical="center"/>
      <protection locked="0"/>
    </xf>
    <xf numFmtId="170" fontId="20" fillId="20" borderId="8" xfId="0" applyNumberFormat="1" applyFont="1" applyFill="1" applyBorder="1" applyAlignment="1" applyProtection="1">
      <alignment horizontal="center" vertical="center"/>
      <protection locked="0"/>
    </xf>
    <xf numFmtId="170" fontId="20" fillId="20" borderId="9" xfId="0" applyNumberFormat="1" applyFont="1" applyFill="1" applyBorder="1" applyAlignment="1" applyProtection="1">
      <alignment horizontal="center" vertical="center"/>
      <protection locked="0"/>
    </xf>
    <xf numFmtId="170" fontId="20" fillId="20" borderId="16" xfId="0" applyNumberFormat="1" applyFont="1" applyFill="1" applyBorder="1" applyAlignment="1" applyProtection="1">
      <alignment horizontal="center" vertical="center"/>
      <protection locked="0"/>
    </xf>
    <xf numFmtId="170" fontId="20" fillId="20" borderId="17" xfId="0" applyNumberFormat="1" applyFont="1" applyFill="1" applyBorder="1" applyAlignment="1" applyProtection="1">
      <alignment horizontal="center" vertical="center"/>
      <protection locked="0"/>
    </xf>
    <xf numFmtId="165" fontId="0" fillId="20" borderId="78" xfId="1" applyNumberFormat="1" applyFont="1" applyFill="1" applyBorder="1" applyAlignment="1" applyProtection="1">
      <alignment horizontal="center" vertical="center"/>
      <protection locked="0"/>
    </xf>
    <xf numFmtId="10" fontId="0" fillId="20" borderId="78" xfId="2" applyNumberFormat="1" applyFont="1" applyFill="1" applyBorder="1" applyAlignment="1" applyProtection="1">
      <alignment horizontal="center" vertical="center"/>
      <protection locked="0"/>
    </xf>
    <xf numFmtId="165" fontId="20" fillId="20" borderId="17" xfId="1" applyNumberFormat="1" applyFont="1" applyFill="1" applyBorder="1" applyAlignment="1" applyProtection="1">
      <alignment horizontal="center" vertical="center"/>
      <protection locked="0"/>
    </xf>
    <xf numFmtId="165" fontId="3" fillId="20" borderId="5" xfId="1" applyNumberFormat="1" applyFont="1" applyFill="1" applyBorder="1" applyAlignment="1" applyProtection="1">
      <alignment horizontal="center" vertical="center"/>
      <protection locked="0"/>
    </xf>
    <xf numFmtId="0" fontId="0" fillId="20" borderId="16" xfId="0" applyFill="1" applyBorder="1" applyAlignment="1" applyProtection="1">
      <alignment horizontal="center" vertical="center"/>
      <protection locked="0"/>
    </xf>
    <xf numFmtId="0" fontId="0" fillId="20" borderId="17" xfId="0" applyFill="1" applyBorder="1" applyAlignment="1" applyProtection="1">
      <alignment horizontal="center" vertical="center"/>
      <protection locked="0"/>
    </xf>
    <xf numFmtId="0" fontId="0" fillId="20" borderId="18" xfId="0" applyFill="1" applyBorder="1" applyAlignment="1" applyProtection="1">
      <alignment horizontal="center" vertical="center"/>
      <protection locked="0"/>
    </xf>
    <xf numFmtId="0" fontId="0" fillId="20" borderId="19" xfId="0" applyFill="1" applyBorder="1" applyProtection="1">
      <protection locked="0"/>
    </xf>
    <xf numFmtId="0" fontId="0" fillId="20" borderId="2" xfId="0" applyFill="1" applyBorder="1" applyProtection="1">
      <protection locked="0"/>
    </xf>
    <xf numFmtId="0" fontId="0" fillId="20" borderId="4" xfId="0" applyFill="1" applyBorder="1" applyProtection="1">
      <protection locked="0"/>
    </xf>
    <xf numFmtId="0" fontId="0" fillId="20" borderId="19" xfId="0" applyFill="1" applyBorder="1" applyAlignment="1" applyProtection="1">
      <alignment horizontal="center" vertical="center"/>
      <protection locked="0"/>
    </xf>
    <xf numFmtId="0" fontId="0" fillId="20" borderId="20" xfId="0" applyFill="1" applyBorder="1" applyAlignment="1" applyProtection="1">
      <alignment horizontal="center" vertical="center"/>
      <protection locked="0"/>
    </xf>
    <xf numFmtId="0" fontId="0" fillId="20" borderId="21" xfId="0" applyFill="1" applyBorder="1" applyAlignment="1" applyProtection="1">
      <alignment horizontal="center" vertical="center"/>
      <protection locked="0"/>
    </xf>
    <xf numFmtId="0" fontId="0" fillId="20" borderId="2" xfId="0" applyFill="1" applyBorder="1" applyAlignment="1" applyProtection="1">
      <alignment horizontal="center" vertical="center"/>
      <protection locked="0"/>
    </xf>
    <xf numFmtId="0" fontId="0" fillId="20" borderId="1" xfId="0" applyFill="1" applyBorder="1" applyAlignment="1" applyProtection="1">
      <alignment horizontal="center" vertical="center"/>
      <protection locked="0"/>
    </xf>
    <xf numFmtId="0" fontId="0" fillId="20" borderId="3" xfId="0" applyFill="1" applyBorder="1" applyAlignment="1" applyProtection="1">
      <alignment horizontal="center" vertical="center"/>
      <protection locked="0"/>
    </xf>
    <xf numFmtId="0" fontId="0" fillId="20" borderId="4" xfId="0" applyFill="1" applyBorder="1" applyAlignment="1" applyProtection="1">
      <alignment horizontal="center" vertical="center"/>
      <protection locked="0"/>
    </xf>
    <xf numFmtId="0" fontId="0" fillId="20" borderId="5" xfId="0" applyFill="1" applyBorder="1" applyAlignment="1" applyProtection="1">
      <alignment horizontal="center" vertical="center"/>
      <protection locked="0"/>
    </xf>
    <xf numFmtId="0" fontId="0" fillId="20" borderId="6" xfId="0" applyFill="1" applyBorder="1" applyAlignment="1" applyProtection="1">
      <alignment horizontal="center" vertical="center"/>
      <protection locked="0"/>
    </xf>
    <xf numFmtId="9" fontId="3" fillId="20" borderId="16" xfId="0" applyNumberFormat="1" applyFont="1" applyFill="1" applyBorder="1" applyAlignment="1" applyProtection="1">
      <alignment horizontal="center" vertical="center"/>
      <protection locked="0"/>
    </xf>
    <xf numFmtId="9" fontId="3" fillId="20" borderId="17" xfId="0" applyNumberFormat="1" applyFont="1" applyFill="1" applyBorder="1" applyAlignment="1" applyProtection="1">
      <alignment horizontal="center" vertical="center"/>
      <protection locked="0"/>
    </xf>
    <xf numFmtId="9" fontId="3" fillId="20" borderId="18" xfId="0" applyNumberFormat="1" applyFont="1" applyFill="1" applyBorder="1" applyAlignment="1" applyProtection="1">
      <alignment horizontal="center" vertical="center"/>
      <protection locked="0"/>
    </xf>
    <xf numFmtId="168" fontId="9" fillId="14" borderId="1" xfId="0" applyNumberFormat="1" applyFont="1" applyFill="1" applyBorder="1" applyAlignment="1" applyProtection="1">
      <alignment horizontal="center" vertical="center"/>
      <protection locked="0"/>
    </xf>
    <xf numFmtId="168" fontId="10" fillId="15" borderId="1" xfId="0" applyNumberFormat="1" applyFont="1" applyFill="1" applyBorder="1" applyAlignment="1" applyProtection="1">
      <alignment horizontal="center" vertical="center"/>
      <protection locked="0"/>
    </xf>
    <xf numFmtId="168" fontId="9" fillId="12" borderId="1" xfId="0" applyNumberFormat="1" applyFont="1" applyFill="1" applyBorder="1" applyAlignment="1" applyProtection="1">
      <alignment horizontal="center" vertical="center"/>
      <protection locked="0"/>
    </xf>
    <xf numFmtId="174" fontId="15" fillId="21" borderId="1" xfId="10" applyBorder="1" applyProtection="1">
      <alignment vertical="top"/>
      <protection locked="0"/>
    </xf>
    <xf numFmtId="169" fontId="10" fillId="20" borderId="1" xfId="0" applyNumberFormat="1" applyFont="1" applyFill="1" applyBorder="1" applyAlignment="1" applyProtection="1">
      <alignment horizontal="center" vertical="center"/>
      <protection locked="0"/>
    </xf>
    <xf numFmtId="168" fontId="9" fillId="16" borderId="1" xfId="0" applyNumberFormat="1" applyFont="1" applyFill="1" applyBorder="1" applyAlignment="1" applyProtection="1">
      <alignment horizontal="center" vertical="center"/>
      <protection locked="0"/>
    </xf>
    <xf numFmtId="168" fontId="10" fillId="17" borderId="1" xfId="0" applyNumberFormat="1" applyFont="1" applyFill="1" applyBorder="1" applyAlignment="1" applyProtection="1">
      <alignment horizontal="center" vertical="center"/>
      <protection locked="0"/>
    </xf>
    <xf numFmtId="17" fontId="0" fillId="20" borderId="1" xfId="0" applyNumberFormat="1" applyFill="1" applyBorder="1" applyAlignment="1" applyProtection="1">
      <alignment horizontal="center" vertical="center"/>
      <protection locked="0"/>
    </xf>
    <xf numFmtId="173" fontId="15" fillId="20" borderId="0" xfId="9" applyNumberFormat="1" applyAlignment="1" applyProtection="1">
      <alignment horizontal="left" vertical="top" wrapText="1"/>
    </xf>
    <xf numFmtId="0" fontId="15" fillId="20" borderId="0" xfId="9" applyAlignment="1" applyProtection="1">
      <alignment horizontal="left" vertical="top" wrapText="1"/>
    </xf>
    <xf numFmtId="173" fontId="0" fillId="20" borderId="0" xfId="9" applyNumberFormat="1" applyFont="1" applyBorder="1" applyAlignment="1" applyProtection="1">
      <alignment horizontal="left" vertical="top" wrapText="1"/>
    </xf>
    <xf numFmtId="0" fontId="0" fillId="10" borderId="86" xfId="1" applyNumberFormat="1" applyFont="1" applyFill="1" applyBorder="1" applyAlignment="1">
      <alignment horizontal="left" vertical="center" wrapText="1" indent="1"/>
    </xf>
    <xf numFmtId="0" fontId="0" fillId="10" borderId="83" xfId="1" applyNumberFormat="1" applyFont="1" applyFill="1" applyBorder="1" applyAlignment="1">
      <alignment horizontal="left" vertical="center" wrapText="1" indent="1"/>
    </xf>
    <xf numFmtId="0" fontId="0" fillId="10" borderId="84" xfId="1" applyNumberFormat="1" applyFont="1" applyFill="1" applyBorder="1" applyAlignment="1">
      <alignment horizontal="left" vertical="center" wrapText="1" indent="1"/>
    </xf>
    <xf numFmtId="0" fontId="2" fillId="19" borderId="13" xfId="8" applyNumberFormat="1" applyBorder="1" applyAlignment="1">
      <alignment horizontal="center" vertical="top"/>
    </xf>
    <xf numFmtId="0" fontId="2" fillId="19" borderId="14" xfId="8" applyNumberFormat="1" applyBorder="1" applyAlignment="1">
      <alignment horizontal="center" vertical="top"/>
    </xf>
    <xf numFmtId="0" fontId="2" fillId="19" borderId="15" xfId="8" applyNumberFormat="1" applyBorder="1" applyAlignment="1">
      <alignment horizontal="center" vertical="top"/>
    </xf>
    <xf numFmtId="165" fontId="3" fillId="20" borderId="68" xfId="1" applyNumberFormat="1" applyFont="1" applyFill="1" applyBorder="1" applyAlignment="1" applyProtection="1">
      <alignment horizontal="center" vertical="center"/>
      <protection locked="0"/>
    </xf>
    <xf numFmtId="171" fontId="6" fillId="20" borderId="20" xfId="2" applyNumberFormat="1" applyFont="1" applyFill="1" applyBorder="1" applyAlignment="1" applyProtection="1">
      <alignment horizontal="center" vertical="center"/>
      <protection locked="0"/>
    </xf>
    <xf numFmtId="171" fontId="6" fillId="20" borderId="21" xfId="2" applyNumberFormat="1" applyFont="1" applyFill="1" applyBorder="1" applyAlignment="1" applyProtection="1">
      <alignment horizontal="center" vertical="center"/>
      <protection locked="0"/>
    </xf>
    <xf numFmtId="171" fontId="34" fillId="20" borderId="20" xfId="2" quotePrefix="1" applyNumberFormat="1" applyFont="1" applyFill="1" applyBorder="1" applyAlignment="1" applyProtection="1">
      <alignment horizontal="center" vertical="center"/>
      <protection locked="0"/>
    </xf>
    <xf numFmtId="171" fontId="34" fillId="20" borderId="21" xfId="2" applyNumberFormat="1" applyFont="1" applyFill="1" applyBorder="1" applyAlignment="1" applyProtection="1">
      <alignment horizontal="center" vertical="center"/>
      <protection locked="0"/>
    </xf>
    <xf numFmtId="171" fontId="34" fillId="20" borderId="20" xfId="2" applyNumberFormat="1" applyFont="1" applyFill="1" applyBorder="1" applyAlignment="1" applyProtection="1">
      <alignment horizontal="center" vertical="center"/>
      <protection locked="0"/>
    </xf>
    <xf numFmtId="165" fontId="6" fillId="0" borderId="1" xfId="1" applyNumberFormat="1" applyFont="1" applyFill="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25" fillId="0" borderId="85" xfId="0" applyFont="1" applyBorder="1" applyAlignment="1">
      <alignment vertical="center" wrapText="1"/>
    </xf>
  </cellXfs>
  <cellStyles count="36">
    <cellStyle name="40% - Accent1 2" xfId="30"/>
    <cellStyle name="40% - Accent4 2" xfId="31"/>
    <cellStyle name="60% - Accent2 2" xfId="25"/>
    <cellStyle name="Accent1 2" xfId="24"/>
    <cellStyle name="Accent4 2" xfId="26"/>
    <cellStyle name="Accent6 2" xfId="27"/>
    <cellStyle name="Annotation_CEPATNEI" xfId="15"/>
    <cellStyle name="Blank_CEPATNEI" xfId="10"/>
    <cellStyle name="Calculation_CEPATNEI" xfId="12"/>
    <cellStyle name="ColumnHeading_CEPATNEI" xfId="8"/>
    <cellStyle name="Comma" xfId="1" builtinId="3"/>
    <cellStyle name="Comma 2" xfId="23"/>
    <cellStyle name="Comma 2 2" xfId="34"/>
    <cellStyle name="Fixed_CEPATNEI" xfId="11"/>
    <cellStyle name="Heading 2 2" xfId="21"/>
    <cellStyle name="Heading 3 2" xfId="22"/>
    <cellStyle name="Heading 4 2" xfId="18"/>
    <cellStyle name="Hyperlink 2" xfId="20"/>
    <cellStyle name="Input 2" xfId="19"/>
    <cellStyle name="Input_CEPATNEI" xfId="9"/>
    <cellStyle name="Level 2" xfId="4"/>
    <cellStyle name="Level 3" xfId="3"/>
    <cellStyle name="LinkedTo_CEPATNEI" xfId="7"/>
    <cellStyle name="LinksFrom_CEPATNEI" xfId="13"/>
    <cellStyle name="Neutral 2" xfId="32"/>
    <cellStyle name="Neutral 3" xfId="29"/>
    <cellStyle name="Normal" xfId="0" builtinId="0"/>
    <cellStyle name="Normal 2" xfId="5"/>
    <cellStyle name="Normal 3" xfId="28"/>
    <cellStyle name="Normal 3 2" xfId="33"/>
    <cellStyle name="Normal 3 3" xfId="35"/>
    <cellStyle name="Percent" xfId="2" builtinId="5"/>
    <cellStyle name="RowHeading_CEPATNEI" xfId="17"/>
    <cellStyle name="SectionHeading_CEPATNEI" xfId="6"/>
    <cellStyle name="SubSection_CEPATNEI" xfId="16"/>
    <cellStyle name="Text_CEPATNEI" xfId="1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CFMs/ED2%20PCFM%20SWAE%2020241220_v2%20Dcp66a%20Feb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RevApr23\Charging%20Models%20From%20DCUSA\Broken%20Links\RevApr23%20SOLR%20Price%20Change\CDCM_v8_20211122_2023_24_Pre-Release%20SWAE%20SOL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RevApr24\Current%20Charging%20Models%20from%20DCUSA\Broken%20Links\SWAE%20CDCM_v9_2022102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RevApr25\Charging%20Models%20From%20DCUSA\Broken%20Links\CDCM_v10_20231106%20SWA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amp;S/REG/Clause%2035A/Nov%202024/Proposed%20Cost%20Information%20Template%20Nov24%20-%20SWA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DCM/CDCM_v11_20241025%20SWAE%20Dcp66a%20Feb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Interface"/>
      <sheetName val="SelectedInputs"/>
      <sheetName val="InputSummary"/>
      <sheetName val="Legacy"/>
      <sheetName val="Totex"/>
      <sheetName val="TIM"/>
      <sheetName val="Depn"/>
      <sheetName val="Return&amp;RAV"/>
      <sheetName val="TaxPools"/>
      <sheetName val="Finance&amp;Tax"/>
      <sheetName val="ReturnAdj"/>
      <sheetName val="Revenue"/>
      <sheetName val="AR"/>
      <sheetName val="Annual Inflation"/>
      <sheetName val="Monthly Inflation"/>
      <sheetName val="Checks"/>
      <sheetName val="ENWL"/>
      <sheetName val="NPgN"/>
      <sheetName val="NPgY"/>
      <sheetName val="WMID"/>
      <sheetName val="EMID"/>
      <sheetName val="SWALES"/>
      <sheetName val="SWEST"/>
      <sheetName val="LPN"/>
      <sheetName val="SPN"/>
      <sheetName val="EPN"/>
      <sheetName val="SPD"/>
      <sheetName val="SPMW"/>
      <sheetName val="SSEH"/>
      <sheetName val="SSES"/>
    </sheetNames>
    <sheetDataSet>
      <sheetData sheetId="0" refreshError="1"/>
      <sheetData sheetId="1" refreshError="1"/>
      <sheetData sheetId="2" refreshError="1"/>
      <sheetData sheetId="3">
        <row r="61">
          <cell r="AR61">
            <v>8.7897010826080049</v>
          </cell>
          <cell r="AS61">
            <v>10.320127258145618</v>
          </cell>
          <cell r="AT61">
            <v>24.636881730744648</v>
          </cell>
          <cell r="AU61">
            <v>33.907473315977974</v>
          </cell>
          <cell r="AV61">
            <v>34.560002293776847</v>
          </cell>
        </row>
        <row r="62">
          <cell r="AR62">
            <v>43.6519120681061</v>
          </cell>
          <cell r="AS62">
            <v>52.297060331331693</v>
          </cell>
          <cell r="AT62">
            <v>50.732063376454647</v>
          </cell>
          <cell r="AU62">
            <v>43.495098852750729</v>
          </cell>
          <cell r="AV62">
            <v>47.115762773170864</v>
          </cell>
        </row>
        <row r="63">
          <cell r="AR63">
            <v>9.3008175608253847</v>
          </cell>
          <cell r="AS63">
            <v>20.631374938805546</v>
          </cell>
          <cell r="AT63">
            <v>18.710400604521201</v>
          </cell>
          <cell r="AU63">
            <v>12.895149543441541</v>
          </cell>
          <cell r="AV63">
            <v>11.314762725075049</v>
          </cell>
        </row>
        <row r="64">
          <cell r="AR64">
            <v>13.831141198731311</v>
          </cell>
          <cell r="AS64">
            <v>11.757554888642677</v>
          </cell>
          <cell r="AT64">
            <v>10.881545752063463</v>
          </cell>
          <cell r="AU64">
            <v>10.586434573150534</v>
          </cell>
          <cell r="AV64">
            <v>10.218432343670607</v>
          </cell>
        </row>
        <row r="65">
          <cell r="AR65">
            <v>8.5830601327349836</v>
          </cell>
          <cell r="AS65">
            <v>8.4373780603628425</v>
          </cell>
          <cell r="AT65">
            <v>8.8588593834092535</v>
          </cell>
          <cell r="AU65">
            <v>7.5916421943306887</v>
          </cell>
          <cell r="AV65">
            <v>7.4095225411487036</v>
          </cell>
        </row>
        <row r="66">
          <cell r="AR66">
            <v>11.660567643095652</v>
          </cell>
          <cell r="AS66">
            <v>11.193928870388017</v>
          </cell>
          <cell r="AT66">
            <v>11.258859956385262</v>
          </cell>
          <cell r="AU66">
            <v>10.953522465973569</v>
          </cell>
          <cell r="AV66">
            <v>11.124364699054023</v>
          </cell>
        </row>
        <row r="67">
          <cell r="AR67">
            <v>55.878087799799069</v>
          </cell>
          <cell r="AS67">
            <v>50.442905477718142</v>
          </cell>
          <cell r="AT67">
            <v>47.089413012551312</v>
          </cell>
          <cell r="AU67">
            <v>43.839222051516629</v>
          </cell>
          <cell r="AV67">
            <v>40.319265529951068</v>
          </cell>
        </row>
        <row r="72">
          <cell r="AR72">
            <v>2.5713272738652373</v>
          </cell>
          <cell r="AS72">
            <v>6.1529560979830196</v>
          </cell>
          <cell r="AT72">
            <v>8.2484432610790446</v>
          </cell>
          <cell r="AU72">
            <v>10.183986145075748</v>
          </cell>
          <cell r="AV72">
            <v>26.468532498791376</v>
          </cell>
        </row>
        <row r="73">
          <cell r="AR73">
            <v>2.5143279732494159</v>
          </cell>
          <cell r="AS73">
            <v>3.4171808892921627</v>
          </cell>
          <cell r="AT73">
            <v>4.1092062697607963</v>
          </cell>
          <cell r="AU73">
            <v>2.3170268771155742</v>
          </cell>
          <cell r="AV73">
            <v>2.0037288297383515</v>
          </cell>
        </row>
        <row r="74">
          <cell r="AR74">
            <v>0.83826975268693793</v>
          </cell>
          <cell r="AS74">
            <v>0.76996524583607351</v>
          </cell>
          <cell r="AT74">
            <v>0.33054003665964243</v>
          </cell>
          <cell r="AU74">
            <v>0.2856743455099725</v>
          </cell>
          <cell r="AV74">
            <v>0.3358385469017347</v>
          </cell>
        </row>
        <row r="75">
          <cell r="AR75">
            <v>0</v>
          </cell>
          <cell r="AS75">
            <v>0</v>
          </cell>
          <cell r="AT75">
            <v>0</v>
          </cell>
          <cell r="AU75">
            <v>0</v>
          </cell>
          <cell r="AV75">
            <v>0</v>
          </cell>
        </row>
        <row r="76">
          <cell r="AR76">
            <v>0</v>
          </cell>
          <cell r="AS76">
            <v>0</v>
          </cell>
          <cell r="AT76">
            <v>0</v>
          </cell>
          <cell r="AU76">
            <v>0</v>
          </cell>
          <cell r="AV76">
            <v>0</v>
          </cell>
        </row>
        <row r="77">
          <cell r="AR77">
            <v>0</v>
          </cell>
          <cell r="AS77">
            <v>0</v>
          </cell>
          <cell r="AT77">
            <v>0</v>
          </cell>
          <cell r="AU77">
            <v>0</v>
          </cell>
          <cell r="AV77">
            <v>0</v>
          </cell>
        </row>
        <row r="78">
          <cell r="AR78">
            <v>0.30777075735914255</v>
          </cell>
          <cell r="AS78">
            <v>0.72714444486106977</v>
          </cell>
          <cell r="AT78">
            <v>1.0864645009679739</v>
          </cell>
          <cell r="AU78">
            <v>1.3246449376872853</v>
          </cell>
          <cell r="AV78">
            <v>3.0928510742051012</v>
          </cell>
        </row>
        <row r="83">
          <cell r="AR83">
            <v>1.0815051396347761</v>
          </cell>
          <cell r="AS83">
            <v>1.0920000000000001</v>
          </cell>
          <cell r="AT83">
            <v>1.0920000000000001</v>
          </cell>
          <cell r="AU83">
            <v>1.0920000000000001</v>
          </cell>
          <cell r="AV83">
            <v>1.0920000000000001</v>
          </cell>
        </row>
        <row r="84">
          <cell r="AR84">
            <v>11.946297963704367</v>
          </cell>
          <cell r="AS84">
            <v>14.056699999999999</v>
          </cell>
          <cell r="AT84">
            <v>14.0793</v>
          </cell>
          <cell r="AU84">
            <v>14.0383</v>
          </cell>
          <cell r="AV84">
            <v>14.024699999999999</v>
          </cell>
        </row>
        <row r="85">
          <cell r="AR85">
            <v>6.6503586080964148</v>
          </cell>
          <cell r="AS85">
            <v>7.6444000000000001</v>
          </cell>
          <cell r="AT85">
            <v>7.6444000000000001</v>
          </cell>
          <cell r="AU85">
            <v>7.6444000000000001</v>
          </cell>
          <cell r="AV85">
            <v>7.6444000000000001</v>
          </cell>
        </row>
        <row r="86">
          <cell r="AR86">
            <v>1.0487085938841185</v>
          </cell>
          <cell r="AS86">
            <v>1.1356999999999999</v>
          </cell>
          <cell r="AT86">
            <v>1.1396999999999999</v>
          </cell>
          <cell r="AU86">
            <v>1.1328</v>
          </cell>
          <cell r="AV86">
            <v>1.1369</v>
          </cell>
        </row>
        <row r="87">
          <cell r="AR87">
            <v>0.11111782048377519</v>
          </cell>
          <cell r="AS87">
            <v>0.2591</v>
          </cell>
          <cell r="AT87">
            <v>0.3513</v>
          </cell>
          <cell r="AU87">
            <v>0.24859999999999999</v>
          </cell>
          <cell r="AV87">
            <v>0.25090000000000001</v>
          </cell>
        </row>
        <row r="88">
          <cell r="AR88">
            <v>1.1088355944269906E-2</v>
          </cell>
          <cell r="AS88">
            <v>2.1700000000000001E-2</v>
          </cell>
          <cell r="AT88">
            <v>2.1700000000000001E-2</v>
          </cell>
          <cell r="AU88">
            <v>2.1700000000000001E-2</v>
          </cell>
          <cell r="AV88">
            <v>2.1700000000000001E-2</v>
          </cell>
        </row>
        <row r="89">
          <cell r="AR89">
            <v>8.0677159936206611</v>
          </cell>
          <cell r="AS89">
            <v>0.25414156446420705</v>
          </cell>
          <cell r="AT89">
            <v>-0.29839436380423456</v>
          </cell>
          <cell r="AU89">
            <v>0</v>
          </cell>
          <cell r="AV89">
            <v>0</v>
          </cell>
        </row>
        <row r="90">
          <cell r="AR90">
            <v>5.7784390132110787E-3</v>
          </cell>
          <cell r="AS90">
            <v>1.7500000000000002E-2</v>
          </cell>
          <cell r="AT90">
            <v>0</v>
          </cell>
          <cell r="AU90">
            <v>0</v>
          </cell>
          <cell r="AV90">
            <v>0</v>
          </cell>
        </row>
        <row r="91">
          <cell r="AR91">
            <v>0</v>
          </cell>
          <cell r="AS91">
            <v>-0.5</v>
          </cell>
          <cell r="AT91">
            <v>-0.5</v>
          </cell>
          <cell r="AU91">
            <v>-0.5</v>
          </cell>
          <cell r="AV91">
            <v>-0.5</v>
          </cell>
        </row>
        <row r="92">
          <cell r="AR92">
            <v>0</v>
          </cell>
          <cell r="AS92">
            <v>0</v>
          </cell>
          <cell r="AT92">
            <v>0</v>
          </cell>
          <cell r="AU92">
            <v>0</v>
          </cell>
          <cell r="AV92">
            <v>0</v>
          </cell>
        </row>
        <row r="93">
          <cell r="AR93">
            <v>0</v>
          </cell>
          <cell r="AS93">
            <v>0</v>
          </cell>
          <cell r="AT93">
            <v>0</v>
          </cell>
          <cell r="AU93">
            <v>0</v>
          </cell>
          <cell r="AV93">
            <v>0</v>
          </cell>
        </row>
        <row r="94">
          <cell r="AR94">
            <v>0</v>
          </cell>
          <cell r="AS94">
            <v>0</v>
          </cell>
          <cell r="AT94">
            <v>0</v>
          </cell>
          <cell r="AU94">
            <v>0</v>
          </cell>
          <cell r="AV94">
            <v>0</v>
          </cell>
        </row>
        <row r="101">
          <cell r="AR101">
            <v>0.34155279999999988</v>
          </cell>
          <cell r="AS101">
            <v>0.35842528184898559</v>
          </cell>
          <cell r="AT101">
            <v>0.37335966859269332</v>
          </cell>
          <cell r="AU101">
            <v>0.3882940553364011</v>
          </cell>
          <cell r="AV101">
            <v>0.40322844208010883</v>
          </cell>
        </row>
        <row r="102">
          <cell r="AR102">
            <v>0.44757084214131948</v>
          </cell>
          <cell r="AS102">
            <v>0.59155848991712223</v>
          </cell>
          <cell r="AT102">
            <v>0.61655848991712225</v>
          </cell>
          <cell r="AU102">
            <v>0.64155848991712228</v>
          </cell>
          <cell r="AV102">
            <v>0.66655848991712219</v>
          </cell>
        </row>
        <row r="103">
          <cell r="AR103">
            <v>-0.62142004788763061</v>
          </cell>
          <cell r="AS103">
            <v>0</v>
          </cell>
          <cell r="AT103">
            <v>0</v>
          </cell>
          <cell r="AU103">
            <v>0</v>
          </cell>
          <cell r="AV103">
            <v>0</v>
          </cell>
        </row>
        <row r="104">
          <cell r="AR104">
            <v>0</v>
          </cell>
          <cell r="AS104">
            <v>0</v>
          </cell>
          <cell r="AT104">
            <v>0</v>
          </cell>
          <cell r="AU104">
            <v>0</v>
          </cell>
          <cell r="AV104">
            <v>0</v>
          </cell>
        </row>
        <row r="105">
          <cell r="AR105">
            <v>0</v>
          </cell>
          <cell r="AS105">
            <v>0</v>
          </cell>
          <cell r="AT105">
            <v>0</v>
          </cell>
          <cell r="AU105">
            <v>0</v>
          </cell>
          <cell r="AV105">
            <v>0</v>
          </cell>
        </row>
        <row r="106">
          <cell r="AR106">
            <v>0.92100000000000004</v>
          </cell>
          <cell r="AS106">
            <v>0.26</v>
          </cell>
          <cell r="AT106">
            <v>0.26</v>
          </cell>
          <cell r="AU106">
            <v>0.26</v>
          </cell>
          <cell r="AV106">
            <v>0.26</v>
          </cell>
        </row>
        <row r="107">
          <cell r="AR107">
            <v>0</v>
          </cell>
          <cell r="AS107">
            <v>0</v>
          </cell>
          <cell r="AT107">
            <v>0</v>
          </cell>
          <cell r="AU107">
            <v>0</v>
          </cell>
          <cell r="AV107">
            <v>0</v>
          </cell>
        </row>
        <row r="108">
          <cell r="AR108">
            <v>0</v>
          </cell>
          <cell r="AS108">
            <v>0</v>
          </cell>
          <cell r="AT108">
            <v>0</v>
          </cell>
          <cell r="AU108">
            <v>0</v>
          </cell>
          <cell r="AV108">
            <v>0</v>
          </cell>
        </row>
      </sheetData>
      <sheetData sheetId="4" refreshError="1"/>
      <sheetData sheetId="5">
        <row r="12">
          <cell r="AR12">
            <v>23.942298797314344</v>
          </cell>
          <cell r="AS12">
            <v>19.632138621215002</v>
          </cell>
          <cell r="AT12">
            <v>25.251082957454408</v>
          </cell>
          <cell r="AU12">
            <v>26.741625609498701</v>
          </cell>
          <cell r="AV12">
            <v>20.106267690446479</v>
          </cell>
        </row>
        <row r="13">
          <cell r="AR13">
            <v>53.214055431076581</v>
          </cell>
          <cell r="AS13">
            <v>52.421703636871385</v>
          </cell>
          <cell r="AT13">
            <v>57.12542775121274</v>
          </cell>
          <cell r="AU13">
            <v>47.179280117293409</v>
          </cell>
          <cell r="AV13">
            <v>46.7812622816611</v>
          </cell>
        </row>
        <row r="14">
          <cell r="AR14">
            <v>20.544735519633612</v>
          </cell>
          <cell r="AS14">
            <v>21.414693991259981</v>
          </cell>
          <cell r="AT14">
            <v>23.636696639088097</v>
          </cell>
          <cell r="AU14">
            <v>16.835925964165774</v>
          </cell>
          <cell r="AV14">
            <v>16.002684092386424</v>
          </cell>
        </row>
        <row r="15">
          <cell r="AR15">
            <v>12.047546368985477</v>
          </cell>
          <cell r="AS15">
            <v>12.077319319245829</v>
          </cell>
          <cell r="AT15">
            <v>11.965064194068201</v>
          </cell>
          <cell r="AU15">
            <v>11.759103152962293</v>
          </cell>
          <cell r="AV15">
            <v>11.79947288312265</v>
          </cell>
        </row>
        <row r="16">
          <cell r="AR16">
            <v>9.3358224877940561</v>
          </cell>
          <cell r="AS16">
            <v>9.6921315921204005</v>
          </cell>
          <cell r="AT16">
            <v>10.087309706515805</v>
          </cell>
          <cell r="AU16">
            <v>8.9753691701105804</v>
          </cell>
          <cell r="AV16">
            <v>9.064716836266669</v>
          </cell>
        </row>
        <row r="17">
          <cell r="AR17">
            <v>10.771260250633643</v>
          </cell>
          <cell r="AS17">
            <v>10.641803199225851</v>
          </cell>
          <cell r="AT17">
            <v>10.396580083414063</v>
          </cell>
          <cell r="AU17">
            <v>10.395689923314224</v>
          </cell>
          <cell r="AV17">
            <v>10.263979322759841</v>
          </cell>
        </row>
        <row r="18">
          <cell r="AR18">
            <v>54.852690294428065</v>
          </cell>
          <cell r="AS18">
            <v>53.618046040545579</v>
          </cell>
          <cell r="AT18">
            <v>50.832968626231896</v>
          </cell>
          <cell r="AU18">
            <v>50.420500513889557</v>
          </cell>
          <cell r="AV18">
            <v>50.998454619463971</v>
          </cell>
        </row>
        <row r="23">
          <cell r="AR23">
            <v>2.5105585503539487</v>
          </cell>
          <cell r="AS23">
            <v>6.036572871587401</v>
          </cell>
          <cell r="AT23">
            <v>8.2701413194378208</v>
          </cell>
          <cell r="AU23">
            <v>10.355772344221855</v>
          </cell>
          <cell r="AV23">
            <v>26.750670029919327</v>
          </cell>
        </row>
        <row r="24">
          <cell r="AR24">
            <v>1.6621750607198429</v>
          </cell>
          <cell r="AS24">
            <v>2.3970943154660231</v>
          </cell>
          <cell r="AT24">
            <v>2.1363335104648655</v>
          </cell>
          <cell r="AU24">
            <v>0.80831122563339264</v>
          </cell>
          <cell r="AV24">
            <v>0.46666134749772997</v>
          </cell>
        </row>
        <row r="25">
          <cell r="AR25">
            <v>0.94443859180414125</v>
          </cell>
          <cell r="AS25">
            <v>0.67767378376560672</v>
          </cell>
          <cell r="AT25">
            <v>0.30100478541490572</v>
          </cell>
          <cell r="AU25">
            <v>0.27125793658169417</v>
          </cell>
          <cell r="AV25">
            <v>0.32218673894890892</v>
          </cell>
        </row>
        <row r="26">
          <cell r="AR26">
            <v>0</v>
          </cell>
          <cell r="AS26">
            <v>0.06</v>
          </cell>
          <cell r="AT26">
            <v>1.49</v>
          </cell>
          <cell r="AU26">
            <v>1.6800000000000002</v>
          </cell>
          <cell r="AV26">
            <v>1.7200000000000002</v>
          </cell>
        </row>
        <row r="27">
          <cell r="AR27">
            <v>0</v>
          </cell>
          <cell r="AS27">
            <v>0</v>
          </cell>
          <cell r="AT27">
            <v>0</v>
          </cell>
          <cell r="AU27">
            <v>0</v>
          </cell>
          <cell r="AV27">
            <v>0</v>
          </cell>
        </row>
        <row r="28">
          <cell r="AR28">
            <v>0</v>
          </cell>
          <cell r="AS28">
            <v>0</v>
          </cell>
          <cell r="AT28">
            <v>0</v>
          </cell>
          <cell r="AU28">
            <v>0</v>
          </cell>
          <cell r="AV28">
            <v>0</v>
          </cell>
        </row>
        <row r="29">
          <cell r="AR29">
            <v>0.30541644957920672</v>
          </cell>
          <cell r="AS29">
            <v>0.6916848323106527</v>
          </cell>
          <cell r="AT29">
            <v>0.92978700263986169</v>
          </cell>
          <cell r="AU29">
            <v>1.1497072502062173</v>
          </cell>
          <cell r="AV29">
            <v>2.9128916598070691</v>
          </cell>
        </row>
      </sheetData>
      <sheetData sheetId="6">
        <row r="17">
          <cell r="AR17">
            <v>0.5</v>
          </cell>
          <cell r="AS17">
            <v>0.5</v>
          </cell>
          <cell r="AT17">
            <v>0.5</v>
          </cell>
          <cell r="AU17">
            <v>0.5</v>
          </cell>
          <cell r="AV17">
            <v>0.5</v>
          </cell>
        </row>
        <row r="53">
          <cell r="AR53">
            <v>0.78</v>
          </cell>
          <cell r="AS53">
            <v>0.78</v>
          </cell>
          <cell r="AT53">
            <v>0.78</v>
          </cell>
          <cell r="AU53">
            <v>0.78</v>
          </cell>
          <cell r="AV53">
            <v>0.78</v>
          </cell>
        </row>
        <row r="60">
          <cell r="AR60">
            <v>0.85</v>
          </cell>
          <cell r="AS60">
            <v>0.85</v>
          </cell>
          <cell r="AT60">
            <v>0.85</v>
          </cell>
          <cell r="AU60">
            <v>0.85</v>
          </cell>
          <cell r="AV60">
            <v>0.85</v>
          </cell>
        </row>
      </sheetData>
      <sheetData sheetId="7">
        <row r="29">
          <cell r="AR29">
            <v>56.378588536039111</v>
          </cell>
          <cell r="AS29">
            <v>52.598230496124948</v>
          </cell>
          <cell r="AT29">
            <v>48.924009231403403</v>
          </cell>
          <cell r="AU29">
            <v>45.275646283427264</v>
          </cell>
          <cell r="AV29">
            <v>41.156481480892062</v>
          </cell>
        </row>
        <row r="30">
          <cell r="AR30">
            <v>32.208971542123763</v>
          </cell>
          <cell r="AS30">
            <v>32.208971542123763</v>
          </cell>
          <cell r="AT30">
            <v>32.208971542123763</v>
          </cell>
          <cell r="AU30">
            <v>32.208971542123763</v>
          </cell>
          <cell r="AV30">
            <v>32.208971542123763</v>
          </cell>
        </row>
        <row r="31">
          <cell r="AR31">
            <v>0</v>
          </cell>
          <cell r="AS31">
            <v>3.0255669458230323</v>
          </cell>
          <cell r="AT31">
            <v>6.2095858487688318</v>
          </cell>
          <cell r="AU31">
            <v>9.5963402101829534</v>
          </cell>
          <cell r="AV31">
            <v>12.772665022543624</v>
          </cell>
        </row>
      </sheetData>
      <sheetData sheetId="8">
        <row r="12">
          <cell r="AR12">
            <v>3.97335776E-2</v>
          </cell>
          <cell r="AS12">
            <v>4.1370183200000001E-2</v>
          </cell>
          <cell r="AT12">
            <v>4.09301584E-2</v>
          </cell>
          <cell r="AU12">
            <v>4.1113614800000003E-2</v>
          </cell>
          <cell r="AV12">
            <v>4.1190859599999997E-2</v>
          </cell>
        </row>
        <row r="15">
          <cell r="AR15">
            <v>1331.7475904607427</v>
          </cell>
          <cell r="AS15">
            <v>1387.195672109232</v>
          </cell>
          <cell r="AT15">
            <v>1452.2570517505712</v>
          </cell>
          <cell r="AU15">
            <v>1508.1107102710673</v>
          </cell>
          <cell r="AV15">
            <v>1576.7645612804392</v>
          </cell>
        </row>
        <row r="43">
          <cell r="AR43">
            <v>1284.184637976869</v>
          </cell>
          <cell r="AS43">
            <v>1331.7475904607427</v>
          </cell>
          <cell r="AT43">
            <v>1387.195672109232</v>
          </cell>
          <cell r="AU43">
            <v>1452.2570517505712</v>
          </cell>
          <cell r="AV43">
            <v>1508.1107102710673</v>
          </cell>
        </row>
      </sheetData>
      <sheetData sheetId="9" refreshError="1"/>
      <sheetData sheetId="10" refreshError="1"/>
      <sheetData sheetId="11" refreshError="1"/>
      <sheetData sheetId="12">
        <row r="8">
          <cell r="AS8">
            <v>39.473368720929287</v>
          </cell>
        </row>
        <row r="14">
          <cell r="AR14">
            <v>2.9931463400196021</v>
          </cell>
          <cell r="AS14">
            <v>0</v>
          </cell>
          <cell r="AT14">
            <v>0</v>
          </cell>
          <cell r="AU14">
            <v>0</v>
          </cell>
          <cell r="AV14">
            <v>0</v>
          </cell>
        </row>
        <row r="15">
          <cell r="AR15">
            <v>0.69</v>
          </cell>
          <cell r="AS15">
            <v>0</v>
          </cell>
          <cell r="AT15">
            <v>0</v>
          </cell>
          <cell r="AU15">
            <v>0</v>
          </cell>
          <cell r="AV15">
            <v>0</v>
          </cell>
        </row>
        <row r="17">
          <cell r="AR17">
            <v>0.28237825891316076</v>
          </cell>
          <cell r="AS17">
            <v>0.28237825891316076</v>
          </cell>
          <cell r="AT17">
            <v>0.28237825891316076</v>
          </cell>
          <cell r="AU17">
            <v>0.28237825891316076</v>
          </cell>
          <cell r="AV17">
            <v>0.28237825891316076</v>
          </cell>
        </row>
        <row r="18">
          <cell r="AR18">
            <v>9.3704416430449909E-4</v>
          </cell>
          <cell r="AS18">
            <v>0</v>
          </cell>
          <cell r="AT18">
            <v>0</v>
          </cell>
          <cell r="AU18">
            <v>0</v>
          </cell>
          <cell r="AV18">
            <v>0</v>
          </cell>
        </row>
        <row r="20">
          <cell r="AR20">
            <v>11.663134936908554</v>
          </cell>
          <cell r="AS20">
            <v>10.051602166739425</v>
          </cell>
          <cell r="AT20">
            <v>9.5189112360020065</v>
          </cell>
          <cell r="AU20">
            <v>9.9679689416692145</v>
          </cell>
          <cell r="AV20">
            <v>8.0774824783858907</v>
          </cell>
        </row>
        <row r="21">
          <cell r="AR21">
            <v>0</v>
          </cell>
          <cell r="AS21">
            <v>0</v>
          </cell>
          <cell r="AT21">
            <v>0</v>
          </cell>
          <cell r="AU21">
            <v>0</v>
          </cell>
          <cell r="AV21">
            <v>0</v>
          </cell>
        </row>
      </sheetData>
      <sheetData sheetId="13">
        <row r="16">
          <cell r="AR16">
            <v>1.2806226704273584</v>
          </cell>
          <cell r="AS16">
            <v>1.321109844088743</v>
          </cell>
          <cell r="AT16">
            <v>1.3540446211486474</v>
          </cell>
          <cell r="AU16">
            <v>1.3841294022609805</v>
          </cell>
          <cell r="AV16">
            <v>1.4132802659144532</v>
          </cell>
        </row>
        <row r="17">
          <cell r="AR17">
            <v>376.71650221738128</v>
          </cell>
          <cell r="AS17">
            <v>388.62647913610527</v>
          </cell>
          <cell r="AT17">
            <v>398.31479272122715</v>
          </cell>
          <cell r="AU17">
            <v>407.16473249843847</v>
          </cell>
          <cell r="AV17">
            <v>415.73994488983499</v>
          </cell>
        </row>
        <row r="50">
          <cell r="AR50">
            <v>0.46195206746633743</v>
          </cell>
        </row>
        <row r="51">
          <cell r="AR51">
            <v>0</v>
          </cell>
          <cell r="AS51">
            <v>0</v>
          </cell>
          <cell r="AT51">
            <v>0</v>
          </cell>
          <cell r="AU51">
            <v>0</v>
          </cell>
          <cell r="AV51">
            <v>0</v>
          </cell>
        </row>
        <row r="52">
          <cell r="AR52">
            <v>-15.476988251258661</v>
          </cell>
          <cell r="AS52">
            <v>19.033344998711964</v>
          </cell>
          <cell r="AT52">
            <v>0.70889709876424756</v>
          </cell>
          <cell r="AU52">
            <v>0.77205666167030262</v>
          </cell>
          <cell r="AV52">
            <v>0.82072734041597273</v>
          </cell>
        </row>
        <row r="53">
          <cell r="AR53">
            <v>270.64834423335293</v>
          </cell>
          <cell r="AS53">
            <v>326.70872163181059</v>
          </cell>
          <cell r="AT53">
            <v>272.94455028347704</v>
          </cell>
          <cell r="AU53">
            <v>296.55540660724705</v>
          </cell>
          <cell r="AV53">
            <v>314.5467380209293</v>
          </cell>
        </row>
        <row r="62">
          <cell r="AR62">
            <v>252.22409897166668</v>
          </cell>
          <cell r="AS62">
            <v>351.56071157497553</v>
          </cell>
          <cell r="AT62">
            <v>282.40877300148071</v>
          </cell>
          <cell r="AU62">
            <v>297.28379570782431</v>
          </cell>
          <cell r="AV62">
            <v>314.5467380209293</v>
          </cell>
        </row>
        <row r="65">
          <cell r="AR65">
            <v>3.97335776E-2</v>
          </cell>
          <cell r="AS65">
            <v>4.1370183200000001E-2</v>
          </cell>
          <cell r="AT65">
            <v>4.09301584E-2</v>
          </cell>
          <cell r="AU65">
            <v>4.1113614800000003E-2</v>
          </cell>
          <cell r="AV65">
            <v>4.1190859599999997E-2</v>
          </cell>
        </row>
        <row r="66">
          <cell r="AR66">
            <v>3.1615224840486178E-2</v>
          </cell>
          <cell r="AS66">
            <v>2.4929628075416987E-2</v>
          </cell>
          <cell r="AT66">
            <v>2.2218456203320525E-2</v>
          </cell>
          <cell r="AU66">
            <v>2.106079359766122E-2</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control"/>
      <sheetName val="Model map"/>
      <sheetName val="Index"/>
      <sheetName val="Named ranges"/>
      <sheetName val="Fixed inputs"/>
      <sheetName val="Inputs by customer type"/>
      <sheetName val="Inputs by network level"/>
      <sheetName val="General inputs"/>
      <sheetName val="Standing charge factors"/>
      <sheetName val="Load &amp; loss characteristics"/>
      <sheetName val="Customer contributions"/>
      <sheetName val="Volume adjustments"/>
      <sheetName val="Pseudo-load coefficients"/>
      <sheetName val="System peak demand"/>
      <sheetName val="Service model assets"/>
      <sheetName val="Unit costs"/>
      <sheetName val="Initial unit rates"/>
      <sheetName val="Service model charges"/>
      <sheetName val="Unit rate charges"/>
      <sheetName val="Capacity charges"/>
      <sheetName val="Reactive power charges"/>
      <sheetName val="Fixed charges"/>
      <sheetName val="SoLR &amp; bad debt adders"/>
      <sheetName val="Revenue matching"/>
      <sheetName val="Rounding"/>
      <sheetName val="Net revenue summary"/>
      <sheetName val="Tariff summary"/>
      <sheetName val="Output to other models"/>
    </sheetNames>
    <sheetDataSet>
      <sheetData sheetId="0"/>
      <sheetData sheetId="1"/>
      <sheetData sheetId="2"/>
      <sheetData sheetId="3"/>
      <sheetData sheetId="4"/>
      <sheetData sheetId="5"/>
      <sheetData sheetId="6"/>
      <sheetData sheetId="7"/>
      <sheetData sheetId="8">
        <row r="83">
          <cell r="H83">
            <v>14032157.778684661</v>
          </cell>
        </row>
        <row r="88">
          <cell r="H88">
            <v>244564274.01232529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control"/>
      <sheetName val="Model map"/>
      <sheetName val="Index"/>
      <sheetName val="Named ranges"/>
      <sheetName val="Fixed inputs"/>
      <sheetName val="Inputs by customer type"/>
      <sheetName val="Inputs by network level"/>
      <sheetName val="General inputs"/>
      <sheetName val="Standing charge factors"/>
      <sheetName val="Load &amp; loss characteristics"/>
      <sheetName val="Customer contributions"/>
      <sheetName val="Volume adjustments"/>
      <sheetName val="Pseudo-load coefficients"/>
      <sheetName val="System peak demand"/>
      <sheetName val="Service model assets"/>
      <sheetName val="Unit costs"/>
      <sheetName val="Initial unit rates"/>
      <sheetName val="Service model charges"/>
      <sheetName val="Unit rate charges"/>
      <sheetName val="Capacity charges"/>
      <sheetName val="Reactive power charges"/>
      <sheetName val="Fixed charges"/>
      <sheetName val="SoLR &amp; bad debt adders"/>
      <sheetName val="Revenue matching"/>
      <sheetName val="Rounding"/>
      <sheetName val="Net revenue summary"/>
      <sheetName val="Tariff summary"/>
      <sheetName val="Output to other models"/>
    </sheetNames>
    <sheetDataSet>
      <sheetData sheetId="0"/>
      <sheetData sheetId="1"/>
      <sheetData sheetId="2"/>
      <sheetData sheetId="3"/>
      <sheetData sheetId="4"/>
      <sheetData sheetId="5"/>
      <sheetData sheetId="6"/>
      <sheetData sheetId="7"/>
      <sheetData sheetId="8">
        <row r="83">
          <cell r="H83">
            <v>20121672.063211091</v>
          </cell>
        </row>
        <row r="88">
          <cell r="H88">
            <v>330953625.75279987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control"/>
      <sheetName val="Model map"/>
      <sheetName val="Index"/>
      <sheetName val="Named ranges"/>
      <sheetName val="Fixed inputs"/>
      <sheetName val="Inputs by customer type"/>
      <sheetName val="Inputs by network level"/>
      <sheetName val="General inputs"/>
      <sheetName val="Standing charge factors"/>
      <sheetName val="Load &amp; loss characteristics"/>
      <sheetName val="Customer contributions"/>
      <sheetName val="Volume adjustments"/>
      <sheetName val="Pseudo-load coefficients"/>
      <sheetName val="System peak demand"/>
      <sheetName val="Service model assets"/>
      <sheetName val="Unit costs"/>
      <sheetName val="Initial unit rates"/>
      <sheetName val="Service model charges"/>
      <sheetName val="Unit rate charges"/>
      <sheetName val="Capacity charges"/>
      <sheetName val="Reactive power charges"/>
      <sheetName val="Fixed charges"/>
      <sheetName val="SoLR &amp; bad debt adders"/>
      <sheetName val="Revenue matching"/>
      <sheetName val="Rounding"/>
      <sheetName val="Net revenue summary"/>
      <sheetName val="Tariff summary"/>
      <sheetName val="Output to other models"/>
    </sheetNames>
    <sheetDataSet>
      <sheetData sheetId="0"/>
      <sheetData sheetId="1"/>
      <sheetData sheetId="2"/>
      <sheetData sheetId="3"/>
      <sheetData sheetId="4"/>
      <sheetData sheetId="5"/>
      <sheetData sheetId="6"/>
      <sheetData sheetId="7"/>
      <sheetData sheetId="8">
        <row r="73">
          <cell r="H73">
            <v>278705823.01290107</v>
          </cell>
        </row>
        <row r="83">
          <cell r="H83">
            <v>18796904.457716804</v>
          </cell>
        </row>
        <row r="88">
          <cell r="H88">
            <v>259908918.55518427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02">
          <cell r="H102">
            <v>256606441.18315986</v>
          </cell>
        </row>
      </sheetData>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structions"/>
      <sheetName val="Table 1 - Detailed"/>
      <sheetName val="Table 1 - CDCM Input"/>
      <sheetName val="Table 1 - Delta From Previous"/>
      <sheetName val="Table 2 - Sensitivities"/>
      <sheetName val="Table 3 - Illustrative Prices"/>
    </sheetNames>
    <sheetDataSet>
      <sheetData sheetId="0"/>
      <sheetData sheetId="1"/>
      <sheetData sheetId="2">
        <row r="6">
          <cell r="D6">
            <v>24.925745653041318</v>
          </cell>
          <cell r="E6">
            <v>20.531765158151693</v>
          </cell>
          <cell r="F6">
            <v>26.177469955998681</v>
          </cell>
          <cell r="G6">
            <v>27.630274611070547</v>
          </cell>
          <cell r="H6">
            <v>21.002241543734968</v>
          </cell>
          <cell r="I6">
            <v>21.002241543734968</v>
          </cell>
        </row>
        <row r="7">
          <cell r="D7">
            <v>55.396684691968588</v>
          </cell>
          <cell r="E7">
            <v>54.41830486850732</v>
          </cell>
          <cell r="F7">
            <v>59.181420261797356</v>
          </cell>
          <cell r="G7">
            <v>49.151518171844316</v>
          </cell>
          <cell r="H7">
            <v>48.769756868626885</v>
          </cell>
          <cell r="I7">
            <v>48.769756868626885</v>
          </cell>
        </row>
        <row r="8">
          <cell r="D8">
            <v>21.347782740069942</v>
          </cell>
          <cell r="E8">
            <v>22.149296563540041</v>
          </cell>
          <cell r="F8">
            <v>24.393150838821555</v>
          </cell>
          <cell r="G8">
            <v>17.561564677127311</v>
          </cell>
          <cell r="H8">
            <v>16.734304014985174</v>
          </cell>
          <cell r="I8">
            <v>16.734304014985174</v>
          </cell>
        </row>
        <row r="9">
          <cell r="D9">
            <v>12.554673579379669</v>
          </cell>
          <cell r="E9">
            <v>12.54122348795258</v>
          </cell>
          <cell r="F9">
            <v>12.442767744169977</v>
          </cell>
          <cell r="G9">
            <v>12.217346612242643</v>
          </cell>
          <cell r="H9">
            <v>12.261493497819158</v>
          </cell>
          <cell r="I9">
            <v>12.261493497819158</v>
          </cell>
        </row>
        <row r="10">
          <cell r="D10">
            <v>9.7367338036333724</v>
          </cell>
          <cell r="E10">
            <v>10.058872770443296</v>
          </cell>
          <cell r="F10">
            <v>10.464960037492029</v>
          </cell>
          <cell r="G10">
            <v>9.3376352533918219</v>
          </cell>
          <cell r="H10">
            <v>9.4299689639111062</v>
          </cell>
          <cell r="I10">
            <v>9.4299689639111062</v>
          </cell>
        </row>
        <row r="11">
          <cell r="D11">
            <v>11.217350488962474</v>
          </cell>
          <cell r="E11">
            <v>11.049872647953077</v>
          </cell>
          <cell r="F11">
            <v>10.816788043365152</v>
          </cell>
          <cell r="G11">
            <v>10.798779976013439</v>
          </cell>
          <cell r="H11">
            <v>10.670391918847113</v>
          </cell>
          <cell r="I11">
            <v>10.670391918847113</v>
          </cell>
        </row>
        <row r="12">
          <cell r="D12">
            <v>57.069335175378136</v>
          </cell>
          <cell r="E12">
            <v>55.645763701398181</v>
          </cell>
          <cell r="F12">
            <v>52.921003161238779</v>
          </cell>
          <cell r="G12">
            <v>52.423475304875595</v>
          </cell>
          <cell r="H12">
            <v>53.017939296029354</v>
          </cell>
          <cell r="I12">
            <v>53.017939296029354</v>
          </cell>
        </row>
        <row r="14">
          <cell r="D14">
            <v>8.7897010826080049</v>
          </cell>
          <cell r="E14">
            <v>10.320127258145618</v>
          </cell>
          <cell r="F14">
            <v>24.636881730744648</v>
          </cell>
          <cell r="G14">
            <v>33.907473315977974</v>
          </cell>
          <cell r="H14">
            <v>34.560002293776847</v>
          </cell>
          <cell r="I14">
            <v>34.560002293776847</v>
          </cell>
        </row>
        <row r="15">
          <cell r="D15">
            <v>43.6519120681061</v>
          </cell>
          <cell r="E15">
            <v>52.350272452543813</v>
          </cell>
          <cell r="F15">
            <v>50.740164386555662</v>
          </cell>
          <cell r="G15">
            <v>43.481704913356793</v>
          </cell>
          <cell r="H15">
            <v>47.06784358125168</v>
          </cell>
          <cell r="I15">
            <v>47.06784358125168</v>
          </cell>
        </row>
        <row r="16">
          <cell r="D16">
            <v>9.3008175608253847</v>
          </cell>
          <cell r="E16">
            <v>20.572102211532819</v>
          </cell>
          <cell r="F16">
            <v>18.728461210581806</v>
          </cell>
          <cell r="G16">
            <v>12.915513179805178</v>
          </cell>
          <cell r="H16">
            <v>11.335611209923535</v>
          </cell>
          <cell r="I16">
            <v>11.335611209923535</v>
          </cell>
        </row>
        <row r="17">
          <cell r="D17">
            <v>13.831141198731311</v>
          </cell>
          <cell r="E17">
            <v>11.757554888642677</v>
          </cell>
          <cell r="F17">
            <v>10.881545752063463</v>
          </cell>
          <cell r="G17">
            <v>10.586434573150534</v>
          </cell>
          <cell r="H17">
            <v>10.218432343670607</v>
          </cell>
          <cell r="I17">
            <v>10.218432343670607</v>
          </cell>
        </row>
        <row r="18">
          <cell r="D18">
            <v>8.5830601327349836</v>
          </cell>
          <cell r="E18">
            <v>8.4373780603628425</v>
          </cell>
          <cell r="F18">
            <v>8.8588593834092535</v>
          </cell>
          <cell r="G18">
            <v>7.5916421943306887</v>
          </cell>
          <cell r="H18">
            <v>7.4095225411487036</v>
          </cell>
          <cell r="I18">
            <v>7.4095225411487036</v>
          </cell>
        </row>
        <row r="19">
          <cell r="D19">
            <v>11.660567643095652</v>
          </cell>
          <cell r="E19">
            <v>11.193928870388017</v>
          </cell>
          <cell r="F19">
            <v>11.258859956385262</v>
          </cell>
          <cell r="G19">
            <v>10.953522465973569</v>
          </cell>
          <cell r="H19">
            <v>11.124364699054023</v>
          </cell>
          <cell r="I19">
            <v>11.124364699054023</v>
          </cell>
        </row>
        <row r="20">
          <cell r="D20">
            <v>55.878087799799069</v>
          </cell>
          <cell r="E20">
            <v>50.44896608377875</v>
          </cell>
          <cell r="F20">
            <v>47.063251396389695</v>
          </cell>
          <cell r="G20">
            <v>43.832252354546924</v>
          </cell>
          <cell r="H20">
            <v>40.346336237021774</v>
          </cell>
          <cell r="I20">
            <v>40.346336237021774</v>
          </cell>
        </row>
        <row r="26">
          <cell r="D26">
            <v>2.6644484640222967</v>
          </cell>
          <cell r="E26">
            <v>6.2981951715080751</v>
          </cell>
          <cell r="F26">
            <v>8.5852076915614841</v>
          </cell>
          <cell r="G26">
            <v>10.727688746988267</v>
          </cell>
          <cell r="H26">
            <v>27.17720689767043</v>
          </cell>
          <cell r="I26">
            <v>27.17720689767043</v>
          </cell>
        </row>
        <row r="27">
          <cell r="D27">
            <v>1.6782919274490784</v>
          </cell>
          <cell r="E27">
            <v>2.4244939782555202</v>
          </cell>
          <cell r="F27">
            <v>2.169330362625848</v>
          </cell>
          <cell r="G27">
            <v>0.84726197266364311</v>
          </cell>
          <cell r="H27">
            <v>0.51133248733256886</v>
          </cell>
          <cell r="I27">
            <v>0.51133248733256886</v>
          </cell>
        </row>
        <row r="28">
          <cell r="D28">
            <v>0.94443859180414125</v>
          </cell>
          <cell r="E28">
            <v>0.67767378376560672</v>
          </cell>
          <cell r="F28">
            <v>0.30100478541490572</v>
          </cell>
          <cell r="G28">
            <v>0.27125793658169417</v>
          </cell>
          <cell r="H28">
            <v>0.32218673894890892</v>
          </cell>
          <cell r="I28">
            <v>0.32218673894890892</v>
          </cell>
        </row>
        <row r="29">
          <cell r="D29">
            <v>0</v>
          </cell>
          <cell r="E29">
            <v>0</v>
          </cell>
          <cell r="F29">
            <v>1.19</v>
          </cell>
          <cell r="G29">
            <v>1.38</v>
          </cell>
          <cell r="H29">
            <v>1.45</v>
          </cell>
          <cell r="I29">
            <v>1.45</v>
          </cell>
        </row>
        <row r="30">
          <cell r="D30">
            <v>0</v>
          </cell>
          <cell r="E30">
            <v>0</v>
          </cell>
          <cell r="F30">
            <v>0</v>
          </cell>
          <cell r="G30">
            <v>0</v>
          </cell>
          <cell r="H30">
            <v>0</v>
          </cell>
          <cell r="I30">
            <v>0</v>
          </cell>
        </row>
        <row r="31">
          <cell r="D31">
            <v>0</v>
          </cell>
          <cell r="E31">
            <v>0</v>
          </cell>
          <cell r="F31">
            <v>0</v>
          </cell>
          <cell r="G31">
            <v>0</v>
          </cell>
          <cell r="H31">
            <v>0</v>
          </cell>
          <cell r="I31">
            <v>0</v>
          </cell>
        </row>
        <row r="32">
          <cell r="D32">
            <v>0.30541644957920672</v>
          </cell>
          <cell r="E32">
            <v>0.6916848323106527</v>
          </cell>
          <cell r="F32">
            <v>0.92978700263986169</v>
          </cell>
          <cell r="G32">
            <v>1.1497072502062173</v>
          </cell>
          <cell r="H32">
            <v>2.9128916598070691</v>
          </cell>
          <cell r="I32">
            <v>2.9128916598070691</v>
          </cell>
        </row>
        <row r="34">
          <cell r="D34">
            <v>2.5713272738652373</v>
          </cell>
          <cell r="E34">
            <v>6.1529560979830196</v>
          </cell>
          <cell r="F34">
            <v>8.2484432610790446</v>
          </cell>
          <cell r="G34">
            <v>10.183986145075748</v>
          </cell>
          <cell r="H34">
            <v>26.468532498791376</v>
          </cell>
          <cell r="I34">
            <v>26.468532498791376</v>
          </cell>
        </row>
        <row r="35">
          <cell r="D35">
            <v>2.5143279732494159</v>
          </cell>
          <cell r="E35">
            <v>3.3639687680800412</v>
          </cell>
          <cell r="F35">
            <v>3.9777719263264526</v>
          </cell>
          <cell r="G35">
            <v>2.20708748317618</v>
          </cell>
          <cell r="H35">
            <v>1.9283146883242097</v>
          </cell>
          <cell r="I35">
            <v>1.9283146883242097</v>
          </cell>
        </row>
        <row r="36">
          <cell r="D36">
            <v>0.83826975268693793</v>
          </cell>
          <cell r="E36">
            <v>0.76923797310880082</v>
          </cell>
          <cell r="F36">
            <v>0.31247943059903638</v>
          </cell>
          <cell r="G36">
            <v>0.26531070914633614</v>
          </cell>
          <cell r="H36">
            <v>0.31499006205324986</v>
          </cell>
          <cell r="I36">
            <v>0.31499006205324986</v>
          </cell>
        </row>
        <row r="37">
          <cell r="D37">
            <v>0</v>
          </cell>
          <cell r="E37">
            <v>0</v>
          </cell>
          <cell r="F37">
            <v>0</v>
          </cell>
          <cell r="G37">
            <v>0</v>
          </cell>
          <cell r="H37">
            <v>0</v>
          </cell>
          <cell r="I37">
            <v>0</v>
          </cell>
        </row>
        <row r="38">
          <cell r="D38">
            <v>0</v>
          </cell>
          <cell r="E38">
            <v>0</v>
          </cell>
          <cell r="F38">
            <v>0</v>
          </cell>
          <cell r="G38">
            <v>0</v>
          </cell>
          <cell r="H38">
            <v>0</v>
          </cell>
          <cell r="I38">
            <v>0</v>
          </cell>
        </row>
        <row r="39">
          <cell r="D39">
            <v>0</v>
          </cell>
          <cell r="E39">
            <v>0</v>
          </cell>
          <cell r="F39">
            <v>0</v>
          </cell>
          <cell r="G39">
            <v>0</v>
          </cell>
          <cell r="H39">
            <v>0</v>
          </cell>
          <cell r="I39">
            <v>0</v>
          </cell>
        </row>
        <row r="40">
          <cell r="D40">
            <v>0.30777075735914255</v>
          </cell>
          <cell r="E40">
            <v>0.72108383880046367</v>
          </cell>
          <cell r="F40">
            <v>0.93595945046292339</v>
          </cell>
          <cell r="G40">
            <v>1.1549479679903156</v>
          </cell>
          <cell r="H40">
            <v>2.9191137004677277</v>
          </cell>
          <cell r="I40">
            <v>2.9191137004677277</v>
          </cell>
        </row>
        <row r="47">
          <cell r="D47">
            <v>56.378588536039111</v>
          </cell>
          <cell r="E47">
            <v>52.598230496124948</v>
          </cell>
          <cell r="F47">
            <v>48.924009231403403</v>
          </cell>
          <cell r="G47">
            <v>45.275646283427264</v>
          </cell>
          <cell r="H47">
            <v>41.156481480892062</v>
          </cell>
          <cell r="I47">
            <v>41.156481480892062</v>
          </cell>
        </row>
        <row r="48">
          <cell r="D48">
            <v>32.208971542123763</v>
          </cell>
          <cell r="E48">
            <v>32.208971542123763</v>
          </cell>
          <cell r="F48">
            <v>32.208971542123763</v>
          </cell>
          <cell r="G48">
            <v>32.208971542123763</v>
          </cell>
          <cell r="H48">
            <v>32.208971542123763</v>
          </cell>
          <cell r="I48">
            <v>32.208971542123763</v>
          </cell>
        </row>
        <row r="49">
          <cell r="D49">
            <v>0</v>
          </cell>
          <cell r="E49">
            <v>3.0925183392645965</v>
          </cell>
          <cell r="F49">
            <v>6.3379098383251087</v>
          </cell>
          <cell r="G49">
            <v>9.7838391909265923</v>
          </cell>
          <cell r="H49">
            <v>13.017424616603769</v>
          </cell>
          <cell r="I49">
            <v>13.017424616603769</v>
          </cell>
        </row>
        <row r="51">
          <cell r="D51">
            <v>3.97335776E-2</v>
          </cell>
          <cell r="E51">
            <v>4.1370183200000001E-2</v>
          </cell>
          <cell r="F51">
            <v>4.1450170800000005E-2</v>
          </cell>
          <cell r="G51">
            <v>4.15681044E-2</v>
          </cell>
          <cell r="H51">
            <v>4.1755693600000005E-2</v>
          </cell>
          <cell r="I51">
            <v>4.1755693600000005E-2</v>
          </cell>
        </row>
        <row r="53">
          <cell r="D53">
            <v>1334.7604031656131</v>
          </cell>
          <cell r="E53">
            <v>1392.9033002458227</v>
          </cell>
          <cell r="F53">
            <v>1460.4992305010373</v>
          </cell>
          <cell r="G53">
            <v>1518.7421176400326</v>
          </cell>
          <cell r="H53">
            <v>1589.8009832259283</v>
          </cell>
          <cell r="I53">
            <v>1589.8009832259283</v>
          </cell>
        </row>
        <row r="54">
          <cell r="D54">
            <v>1284.184637976869</v>
          </cell>
          <cell r="E54">
            <v>1334.7604031656131</v>
          </cell>
          <cell r="F54">
            <v>1392.9033002458227</v>
          </cell>
          <cell r="G54">
            <v>1460.4992305010373</v>
          </cell>
          <cell r="H54">
            <v>1518.7421176400326</v>
          </cell>
          <cell r="I54">
            <v>1518.7421176400326</v>
          </cell>
        </row>
        <row r="58">
          <cell r="D58">
            <v>1.0815051396347761</v>
          </cell>
          <cell r="E58">
            <v>1.0920000000000001</v>
          </cell>
          <cell r="F58">
            <v>1.0920000000000001</v>
          </cell>
          <cell r="G58">
            <v>1.0920000000000001</v>
          </cell>
          <cell r="H58">
            <v>1.0920000000000001</v>
          </cell>
          <cell r="I58">
            <v>1.0920000000000001</v>
          </cell>
        </row>
        <row r="59">
          <cell r="D59">
            <v>11.946297963704367</v>
          </cell>
          <cell r="E59">
            <v>14.056699999999999</v>
          </cell>
          <cell r="F59">
            <v>14.0793</v>
          </cell>
          <cell r="G59">
            <v>14.0383</v>
          </cell>
          <cell r="H59">
            <v>14.024699999999999</v>
          </cell>
          <cell r="I59">
            <v>14.024699999999999</v>
          </cell>
        </row>
        <row r="60">
          <cell r="D60">
            <v>6.6503586080964148</v>
          </cell>
          <cell r="E60">
            <v>7.6444000000000001</v>
          </cell>
          <cell r="F60">
            <v>7.6444000000000001</v>
          </cell>
          <cell r="G60">
            <v>7.6444000000000001</v>
          </cell>
          <cell r="H60">
            <v>7.6444000000000001</v>
          </cell>
          <cell r="I60">
            <v>7.6444000000000001</v>
          </cell>
        </row>
        <row r="61">
          <cell r="D61">
            <v>1.0487085938841185</v>
          </cell>
          <cell r="E61">
            <v>1.1356999999999999</v>
          </cell>
          <cell r="F61">
            <v>1.1396999999999999</v>
          </cell>
          <cell r="G61">
            <v>1.1328</v>
          </cell>
          <cell r="H61">
            <v>1.1369</v>
          </cell>
          <cell r="I61">
            <v>1.1369</v>
          </cell>
        </row>
        <row r="62">
          <cell r="D62">
            <v>0.11111782048377519</v>
          </cell>
          <cell r="E62">
            <v>0.2591</v>
          </cell>
          <cell r="F62">
            <v>0.3513</v>
          </cell>
          <cell r="G62">
            <v>0.24859999999999999</v>
          </cell>
          <cell r="H62">
            <v>0.25090000000000001</v>
          </cell>
          <cell r="I62">
            <v>0.25090000000000001</v>
          </cell>
        </row>
        <row r="63">
          <cell r="D63">
            <v>1.1088355944269906E-2</v>
          </cell>
          <cell r="E63">
            <v>2.1700000000000001E-2</v>
          </cell>
          <cell r="F63">
            <v>2.1700000000000001E-2</v>
          </cell>
          <cell r="G63">
            <v>2.1700000000000001E-2</v>
          </cell>
          <cell r="H63">
            <v>2.1700000000000001E-2</v>
          </cell>
          <cell r="I63">
            <v>2.1700000000000001E-2</v>
          </cell>
        </row>
        <row r="64">
          <cell r="D64">
            <v>8.0677159936206611</v>
          </cell>
          <cell r="E64">
            <v>0.255</v>
          </cell>
          <cell r="F64">
            <v>0</v>
          </cell>
          <cell r="G64">
            <v>0</v>
          </cell>
          <cell r="H64">
            <v>0</v>
          </cell>
          <cell r="I64">
            <v>0</v>
          </cell>
        </row>
        <row r="65">
          <cell r="D65">
            <v>5.7784390132110787E-3</v>
          </cell>
          <cell r="E65">
            <v>1.7500000000000002E-2</v>
          </cell>
          <cell r="F65">
            <v>0</v>
          </cell>
          <cell r="G65">
            <v>0</v>
          </cell>
          <cell r="H65">
            <v>0</v>
          </cell>
          <cell r="I65">
            <v>0</v>
          </cell>
        </row>
        <row r="66">
          <cell r="D66">
            <v>0</v>
          </cell>
          <cell r="E66">
            <v>-0.5</v>
          </cell>
          <cell r="F66">
            <v>-0.5</v>
          </cell>
          <cell r="G66">
            <v>-0.5</v>
          </cell>
          <cell r="H66">
            <v>-0.5</v>
          </cell>
          <cell r="I66">
            <v>-0.5</v>
          </cell>
        </row>
        <row r="67">
          <cell r="D67">
            <v>0</v>
          </cell>
          <cell r="E67">
            <v>0</v>
          </cell>
          <cell r="F67">
            <v>0</v>
          </cell>
          <cell r="G67">
            <v>0</v>
          </cell>
          <cell r="H67">
            <v>0</v>
          </cell>
          <cell r="I67">
            <v>0</v>
          </cell>
        </row>
        <row r="68">
          <cell r="D68">
            <v>0</v>
          </cell>
          <cell r="E68">
            <v>0</v>
          </cell>
          <cell r="F68">
            <v>0</v>
          </cell>
          <cell r="G68">
            <v>0</v>
          </cell>
          <cell r="H68">
            <v>0</v>
          </cell>
          <cell r="I68">
            <v>0</v>
          </cell>
        </row>
        <row r="69">
          <cell r="D69">
            <v>0</v>
          </cell>
          <cell r="E69">
            <v>0</v>
          </cell>
          <cell r="F69">
            <v>0</v>
          </cell>
          <cell r="G69">
            <v>0</v>
          </cell>
          <cell r="H69">
            <v>0</v>
          </cell>
          <cell r="I69">
            <v>0</v>
          </cell>
        </row>
        <row r="73">
          <cell r="D73">
            <v>2.9931463400196021</v>
          </cell>
          <cell r="E73">
            <v>0</v>
          </cell>
          <cell r="F73">
            <v>0</v>
          </cell>
          <cell r="G73">
            <v>0</v>
          </cell>
          <cell r="H73">
            <v>0</v>
          </cell>
          <cell r="I73">
            <v>0</v>
          </cell>
        </row>
        <row r="74">
          <cell r="D74">
            <v>0.69</v>
          </cell>
          <cell r="E74">
            <v>0</v>
          </cell>
          <cell r="F74">
            <v>0</v>
          </cell>
          <cell r="G74">
            <v>0</v>
          </cell>
          <cell r="H74">
            <v>0</v>
          </cell>
          <cell r="I74">
            <v>0</v>
          </cell>
        </row>
        <row r="75">
          <cell r="D75">
            <v>0.34155279999999988</v>
          </cell>
          <cell r="E75">
            <v>0.35842528184898559</v>
          </cell>
          <cell r="F75">
            <v>0.37335966859269332</v>
          </cell>
          <cell r="G75">
            <v>0.3882940553364011</v>
          </cell>
          <cell r="H75">
            <v>0.40322844208010883</v>
          </cell>
          <cell r="I75">
            <v>0.40322844208010883</v>
          </cell>
        </row>
        <row r="76">
          <cell r="D76">
            <v>0.44757084214131948</v>
          </cell>
          <cell r="E76">
            <v>0.59155848991712223</v>
          </cell>
          <cell r="F76">
            <v>0.61655848991712225</v>
          </cell>
          <cell r="G76">
            <v>0.64155848991712228</v>
          </cell>
          <cell r="H76">
            <v>0.66655848991712219</v>
          </cell>
          <cell r="I76">
            <v>0.66655848991712219</v>
          </cell>
        </row>
        <row r="77">
          <cell r="D77">
            <v>-0.62142004788763061</v>
          </cell>
          <cell r="E77">
            <v>0</v>
          </cell>
          <cell r="F77">
            <v>0</v>
          </cell>
          <cell r="G77">
            <v>0</v>
          </cell>
          <cell r="H77">
            <v>0</v>
          </cell>
          <cell r="I77">
            <v>0</v>
          </cell>
        </row>
        <row r="78">
          <cell r="D78">
            <v>0</v>
          </cell>
          <cell r="E78">
            <v>0</v>
          </cell>
          <cell r="F78">
            <v>0</v>
          </cell>
          <cell r="G78">
            <v>0</v>
          </cell>
          <cell r="H78">
            <v>0</v>
          </cell>
          <cell r="I78">
            <v>0</v>
          </cell>
        </row>
        <row r="79">
          <cell r="D79">
            <v>0</v>
          </cell>
          <cell r="E79">
            <v>0</v>
          </cell>
          <cell r="F79">
            <v>0</v>
          </cell>
          <cell r="G79">
            <v>0</v>
          </cell>
          <cell r="H79">
            <v>0</v>
          </cell>
          <cell r="I79">
            <v>0</v>
          </cell>
        </row>
        <row r="80">
          <cell r="D80">
            <v>0.92100000000000004</v>
          </cell>
          <cell r="E80">
            <v>0.26</v>
          </cell>
          <cell r="F80">
            <v>0.26</v>
          </cell>
          <cell r="G80">
            <v>0.26</v>
          </cell>
          <cell r="H80">
            <v>0.26</v>
          </cell>
          <cell r="I80">
            <v>0.26</v>
          </cell>
        </row>
        <row r="81">
          <cell r="D81">
            <v>0</v>
          </cell>
          <cell r="E81">
            <v>0</v>
          </cell>
          <cell r="F81">
            <v>0</v>
          </cell>
          <cell r="G81">
            <v>0</v>
          </cell>
          <cell r="H81">
            <v>0</v>
          </cell>
          <cell r="I81">
            <v>0</v>
          </cell>
        </row>
        <row r="82">
          <cell r="D82">
            <v>0</v>
          </cell>
          <cell r="E82">
            <v>0</v>
          </cell>
          <cell r="F82">
            <v>0</v>
          </cell>
          <cell r="G82">
            <v>0</v>
          </cell>
          <cell r="H82">
            <v>0</v>
          </cell>
          <cell r="I82">
            <v>0</v>
          </cell>
        </row>
        <row r="84">
          <cell r="D84">
            <v>0.28237825891316076</v>
          </cell>
          <cell r="E84">
            <v>0.28237825891316076</v>
          </cell>
          <cell r="F84">
            <v>0.28237825891316076</v>
          </cell>
          <cell r="G84">
            <v>0.28237825891316076</v>
          </cell>
          <cell r="H84">
            <v>0.28237825891316076</v>
          </cell>
          <cell r="I84">
            <v>0.28237825891316076</v>
          </cell>
        </row>
        <row r="85">
          <cell r="D85">
            <v>9.3704416430449909E-4</v>
          </cell>
          <cell r="E85">
            <v>0</v>
          </cell>
          <cell r="F85">
            <v>0</v>
          </cell>
          <cell r="G85">
            <v>0</v>
          </cell>
          <cell r="H85">
            <v>0</v>
          </cell>
          <cell r="I85">
            <v>0</v>
          </cell>
        </row>
        <row r="87">
          <cell r="D87">
            <v>11.971782399681244</v>
          </cell>
          <cell r="E87">
            <v>10.572856640382339</v>
          </cell>
          <cell r="F87">
            <v>10.472265284154464</v>
          </cell>
          <cell r="G87">
            <v>10.594450771041721</v>
          </cell>
          <cell r="H87">
            <v>8.542494175510928</v>
          </cell>
          <cell r="I87">
            <v>8.542494175510928</v>
          </cell>
        </row>
        <row r="88">
          <cell r="D88">
            <v>0</v>
          </cell>
          <cell r="E88">
            <v>0</v>
          </cell>
          <cell r="F88">
            <v>0</v>
          </cell>
          <cell r="G88">
            <v>0</v>
          </cell>
          <cell r="H88">
            <v>0</v>
          </cell>
          <cell r="I88">
            <v>0</v>
          </cell>
        </row>
        <row r="90">
          <cell r="D90">
            <v>1.2806226704273584</v>
          </cell>
          <cell r="E90">
            <v>1.3166427517353263</v>
          </cell>
          <cell r="F90">
            <v>1.3372044808664936</v>
          </cell>
          <cell r="G90">
            <v>1.3601375551943939</v>
          </cell>
          <cell r="H90">
            <v>1.3864986444601943</v>
          </cell>
          <cell r="I90">
            <v>1.4142286173493983</v>
          </cell>
        </row>
        <row r="91">
          <cell r="D91">
            <v>376.71650221738128</v>
          </cell>
          <cell r="E91">
            <v>387.31240946880854</v>
          </cell>
          <cell r="F91">
            <v>393.36098478822686</v>
          </cell>
          <cell r="G91">
            <v>400.10713081968424</v>
          </cell>
          <cell r="H91">
            <v>407.86168457870718</v>
          </cell>
          <cell r="I91">
            <v>416.01891827028135</v>
          </cell>
        </row>
        <row r="95">
          <cell r="D95">
            <v>0</v>
          </cell>
          <cell r="E95">
            <v>0</v>
          </cell>
          <cell r="F95">
            <v>0</v>
          </cell>
          <cell r="G95">
            <v>0</v>
          </cell>
          <cell r="H95">
            <v>0</v>
          </cell>
          <cell r="I95">
            <v>0</v>
          </cell>
        </row>
        <row r="96">
          <cell r="D96">
            <v>-15.476988251258661</v>
          </cell>
          <cell r="E96">
            <v>18.982771470956394</v>
          </cell>
          <cell r="F96">
            <v>0.70008060453477761</v>
          </cell>
          <cell r="G96">
            <v>0.75905320233883489</v>
          </cell>
          <cell r="H96">
            <v>0.80592848538430673</v>
          </cell>
          <cell r="I96">
            <v>0</v>
          </cell>
        </row>
        <row r="99">
          <cell r="D99">
            <v>252.22409897166668</v>
          </cell>
          <cell r="E99">
            <v>348.76638238079227</v>
          </cell>
          <cell r="F99">
            <v>278.68791994405711</v>
          </cell>
          <cell r="G99">
            <v>305.51141812208442</v>
          </cell>
          <cell r="H99">
            <v>313.20082390036487</v>
          </cell>
          <cell r="I99">
            <v>318.64279332328022</v>
          </cell>
        </row>
        <row r="102">
          <cell r="D102">
            <v>3.97335776E-2</v>
          </cell>
          <cell r="E102">
            <v>4.1370183200000001E-2</v>
          </cell>
          <cell r="F102">
            <v>4.1450170800000005E-2</v>
          </cell>
          <cell r="G102">
            <v>4.15681044E-2</v>
          </cell>
          <cell r="H102">
            <v>4.1755693600000005E-2</v>
          </cell>
          <cell r="I102">
            <v>4.1755693600000005E-2</v>
          </cell>
        </row>
        <row r="103">
          <cell r="D103">
            <v>2.8127005822837559E-2</v>
          </cell>
          <cell r="E103">
            <v>1.5616786789026005E-2</v>
          </cell>
          <cell r="F103">
            <v>1.7150013072825043E-2</v>
          </cell>
          <cell r="G103">
            <v>1.9381193589667944E-2</v>
          </cell>
          <cell r="H103">
            <v>1.9381193589667944E-2</v>
          </cell>
        </row>
        <row r="105">
          <cell r="D105">
            <v>0.46195206746633743</v>
          </cell>
          <cell r="E105">
            <v>21.349301728101903</v>
          </cell>
          <cell r="F105">
            <v>-20.594081163243949</v>
          </cell>
          <cell r="G105">
            <v>0.69261073488766467</v>
          </cell>
          <cell r="H105">
            <v>0</v>
          </cell>
          <cell r="I105">
            <v>0</v>
          </cell>
        </row>
      </sheetData>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control"/>
      <sheetName val="Model map"/>
      <sheetName val="Index"/>
      <sheetName val="Named ranges"/>
      <sheetName val="Fixed inputs"/>
      <sheetName val="Inputs by customer type"/>
      <sheetName val="Inputs by network level"/>
      <sheetName val="General inputs"/>
      <sheetName val="Standing charge factors"/>
      <sheetName val="Load &amp; loss characteristics"/>
      <sheetName val="Customer contributions"/>
      <sheetName val="Volume adjustments"/>
      <sheetName val="Pseudo-load coefficients"/>
      <sheetName val="System peak demand"/>
      <sheetName val="Service model assets"/>
      <sheetName val="Unit costs"/>
      <sheetName val="Initial unit rates"/>
      <sheetName val="Service model charges"/>
      <sheetName val="Unit rate charges"/>
      <sheetName val="Capacity charges"/>
      <sheetName val="Reactive power charges"/>
      <sheetName val="Fixed charges"/>
      <sheetName val="SoLR &amp; bad debt adders"/>
      <sheetName val="Revenue matching"/>
      <sheetName val="Rounding"/>
      <sheetName val="Net revenue summary"/>
      <sheetName val="Tariff summary"/>
      <sheetName val="Output to other mode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6">
          <cell r="F16" t="str">
            <v>Domestic Aggregated or CT with Residual</v>
          </cell>
          <cell r="J16">
            <v>18.538</v>
          </cell>
          <cell r="K16">
            <v>1.53</v>
          </cell>
          <cell r="L16">
            <v>0.29399999999999998</v>
          </cell>
          <cell r="M16">
            <v>12.01</v>
          </cell>
          <cell r="N16">
            <v>0</v>
          </cell>
          <cell r="O16">
            <v>0</v>
          </cell>
          <cell r="P16">
            <v>0</v>
          </cell>
        </row>
        <row r="17">
          <cell r="F17" t="str">
            <v>Domestic Aggregated (Related MPAN)</v>
          </cell>
          <cell r="J17">
            <v>18.538</v>
          </cell>
          <cell r="K17">
            <v>1.53</v>
          </cell>
          <cell r="L17">
            <v>0.29399999999999998</v>
          </cell>
          <cell r="M17">
            <v>0</v>
          </cell>
          <cell r="N17">
            <v>0</v>
          </cell>
          <cell r="O17">
            <v>0</v>
          </cell>
          <cell r="P17">
            <v>0</v>
          </cell>
        </row>
        <row r="18">
          <cell r="F18" t="str">
            <v>Non-Domestic Aggregated or CT No Residual</v>
          </cell>
          <cell r="J18">
            <v>20.286000000000001</v>
          </cell>
          <cell r="K18">
            <v>1.6739999999999999</v>
          </cell>
          <cell r="L18">
            <v>0.32100000000000001</v>
          </cell>
          <cell r="M18">
            <v>15.3</v>
          </cell>
          <cell r="N18">
            <v>0</v>
          </cell>
          <cell r="O18">
            <v>0</v>
          </cell>
          <cell r="P18">
            <v>0</v>
          </cell>
        </row>
        <row r="19">
          <cell r="F19" t="str">
            <v>Non-Domestic Aggregated or CT Band 1</v>
          </cell>
          <cell r="J19">
            <v>20.286000000000001</v>
          </cell>
          <cell r="K19">
            <v>1.6739999999999999</v>
          </cell>
          <cell r="L19">
            <v>0.32100000000000001</v>
          </cell>
          <cell r="M19">
            <v>18.14</v>
          </cell>
          <cell r="N19">
            <v>0</v>
          </cell>
          <cell r="O19">
            <v>0</v>
          </cell>
          <cell r="P19">
            <v>0</v>
          </cell>
        </row>
        <row r="20">
          <cell r="F20" t="str">
            <v>Non-Domestic Aggregated or CT Band 2</v>
          </cell>
          <cell r="J20">
            <v>20.286000000000001</v>
          </cell>
          <cell r="K20">
            <v>1.6739999999999999</v>
          </cell>
          <cell r="L20">
            <v>0.32100000000000001</v>
          </cell>
          <cell r="M20">
            <v>23.18</v>
          </cell>
          <cell r="N20">
            <v>0</v>
          </cell>
          <cell r="O20">
            <v>0</v>
          </cell>
          <cell r="P20">
            <v>0</v>
          </cell>
        </row>
        <row r="21">
          <cell r="F21" t="str">
            <v>Non-Domestic Aggregated or CT Band 3</v>
          </cell>
          <cell r="J21">
            <v>20.286000000000001</v>
          </cell>
          <cell r="K21">
            <v>1.6739999999999999</v>
          </cell>
          <cell r="L21">
            <v>0.32100000000000001</v>
          </cell>
          <cell r="M21">
            <v>31.87</v>
          </cell>
          <cell r="N21">
            <v>0</v>
          </cell>
          <cell r="O21">
            <v>0</v>
          </cell>
          <cell r="P21">
            <v>0</v>
          </cell>
        </row>
        <row r="22">
          <cell r="F22" t="str">
            <v>Non-Domestic Aggregated or CT Band 4</v>
          </cell>
          <cell r="J22">
            <v>20.286000000000001</v>
          </cell>
          <cell r="K22">
            <v>1.6739999999999999</v>
          </cell>
          <cell r="L22">
            <v>0.32100000000000001</v>
          </cell>
          <cell r="M22">
            <v>58.04</v>
          </cell>
          <cell r="N22">
            <v>0</v>
          </cell>
          <cell r="O22">
            <v>0</v>
          </cell>
          <cell r="P22">
            <v>0</v>
          </cell>
        </row>
        <row r="23">
          <cell r="F23" t="str">
            <v>Non-Domestic Aggregated (Related MPAN)</v>
          </cell>
          <cell r="J23">
            <v>20.286000000000001</v>
          </cell>
          <cell r="K23">
            <v>1.6739999999999999</v>
          </cell>
          <cell r="L23">
            <v>0.32100000000000001</v>
          </cell>
          <cell r="M23">
            <v>0</v>
          </cell>
          <cell r="N23">
            <v>0</v>
          </cell>
          <cell r="O23">
            <v>0</v>
          </cell>
          <cell r="P23">
            <v>0</v>
          </cell>
        </row>
        <row r="24">
          <cell r="F24" t="str">
            <v>LV Site Specific No Residual</v>
          </cell>
          <cell r="J24">
            <v>12.885</v>
          </cell>
          <cell r="K24">
            <v>0.98899999999999999</v>
          </cell>
          <cell r="L24">
            <v>0.20599999999999999</v>
          </cell>
          <cell r="M24">
            <v>17.88</v>
          </cell>
          <cell r="N24">
            <v>10.49</v>
          </cell>
          <cell r="O24">
            <v>10.49</v>
          </cell>
          <cell r="P24">
            <v>0.28699999999999998</v>
          </cell>
        </row>
        <row r="25">
          <cell r="F25" t="str">
            <v>LV Site Specific Band 1</v>
          </cell>
          <cell r="J25">
            <v>12.885</v>
          </cell>
          <cell r="K25">
            <v>0.98899999999999999</v>
          </cell>
          <cell r="L25">
            <v>0.20599999999999999</v>
          </cell>
          <cell r="M25">
            <v>94.61</v>
          </cell>
          <cell r="N25">
            <v>10.49</v>
          </cell>
          <cell r="O25">
            <v>10.49</v>
          </cell>
          <cell r="P25">
            <v>0.28699999999999998</v>
          </cell>
        </row>
        <row r="26">
          <cell r="J26">
            <v>12.885</v>
          </cell>
          <cell r="K26">
            <v>0.98899999999999999</v>
          </cell>
          <cell r="L26">
            <v>0.20599999999999999</v>
          </cell>
          <cell r="M26">
            <v>165.52</v>
          </cell>
          <cell r="N26">
            <v>10.49</v>
          </cell>
          <cell r="O26">
            <v>10.49</v>
          </cell>
          <cell r="P26">
            <v>0.28699999999999998</v>
          </cell>
        </row>
        <row r="27">
          <cell r="J27">
            <v>12.885</v>
          </cell>
          <cell r="K27">
            <v>0.98899999999999999</v>
          </cell>
          <cell r="L27">
            <v>0.20599999999999999</v>
          </cell>
          <cell r="M27">
            <v>268.48</v>
          </cell>
          <cell r="N27">
            <v>10.49</v>
          </cell>
          <cell r="O27">
            <v>10.49</v>
          </cell>
          <cell r="P27">
            <v>0.28699999999999998</v>
          </cell>
        </row>
        <row r="28">
          <cell r="J28">
            <v>12.885</v>
          </cell>
          <cell r="K28">
            <v>0.98899999999999999</v>
          </cell>
          <cell r="L28">
            <v>0.20599999999999999</v>
          </cell>
          <cell r="M28">
            <v>600.61</v>
          </cell>
          <cell r="N28">
            <v>10.49</v>
          </cell>
          <cell r="O28">
            <v>10.49</v>
          </cell>
          <cell r="P28">
            <v>0.28699999999999998</v>
          </cell>
        </row>
        <row r="29">
          <cell r="J29">
            <v>8.5449999999999999</v>
          </cell>
          <cell r="K29">
            <v>0.52600000000000002</v>
          </cell>
          <cell r="L29">
            <v>0.14000000000000001</v>
          </cell>
          <cell r="M29">
            <v>13.96</v>
          </cell>
          <cell r="N29">
            <v>10.07</v>
          </cell>
          <cell r="O29">
            <v>10.07</v>
          </cell>
          <cell r="P29">
            <v>0.17899999999999999</v>
          </cell>
        </row>
        <row r="30">
          <cell r="J30">
            <v>8.5449999999999999</v>
          </cell>
          <cell r="K30">
            <v>0.52600000000000002</v>
          </cell>
          <cell r="L30">
            <v>0.14000000000000001</v>
          </cell>
          <cell r="M30">
            <v>90.69</v>
          </cell>
          <cell r="N30">
            <v>10.07</v>
          </cell>
          <cell r="O30">
            <v>10.07</v>
          </cell>
          <cell r="P30">
            <v>0.17899999999999999</v>
          </cell>
        </row>
        <row r="31">
          <cell r="J31">
            <v>8.5449999999999999</v>
          </cell>
          <cell r="K31">
            <v>0.52600000000000002</v>
          </cell>
          <cell r="L31">
            <v>0.14000000000000001</v>
          </cell>
          <cell r="M31">
            <v>161.6</v>
          </cell>
          <cell r="N31">
            <v>10.07</v>
          </cell>
          <cell r="O31">
            <v>10.07</v>
          </cell>
          <cell r="P31">
            <v>0.17899999999999999</v>
          </cell>
        </row>
        <row r="32">
          <cell r="J32">
            <v>8.5449999999999999</v>
          </cell>
          <cell r="K32">
            <v>0.52600000000000002</v>
          </cell>
          <cell r="L32">
            <v>0.14000000000000001</v>
          </cell>
          <cell r="M32">
            <v>264.56</v>
          </cell>
          <cell r="N32">
            <v>10.07</v>
          </cell>
          <cell r="O32">
            <v>10.07</v>
          </cell>
          <cell r="P32">
            <v>0.17899999999999999</v>
          </cell>
        </row>
        <row r="33">
          <cell r="J33">
            <v>8.5449999999999999</v>
          </cell>
          <cell r="K33">
            <v>0.52600000000000002</v>
          </cell>
          <cell r="L33">
            <v>0.14000000000000001</v>
          </cell>
          <cell r="M33">
            <v>596.69000000000005</v>
          </cell>
          <cell r="N33">
            <v>10.07</v>
          </cell>
          <cell r="O33">
            <v>10.07</v>
          </cell>
          <cell r="P33">
            <v>0.17899999999999999</v>
          </cell>
        </row>
        <row r="34">
          <cell r="J34">
            <v>5.9530000000000003</v>
          </cell>
          <cell r="K34">
            <v>0.32700000000000001</v>
          </cell>
          <cell r="L34">
            <v>9.6000000000000002E-2</v>
          </cell>
          <cell r="M34">
            <v>128.84</v>
          </cell>
          <cell r="N34">
            <v>10.43</v>
          </cell>
          <cell r="O34">
            <v>10.43</v>
          </cell>
          <cell r="P34">
            <v>0.115</v>
          </cell>
        </row>
        <row r="35">
          <cell r="J35">
            <v>5.9530000000000003</v>
          </cell>
          <cell r="K35">
            <v>0.32700000000000001</v>
          </cell>
          <cell r="L35">
            <v>9.6000000000000002E-2</v>
          </cell>
          <cell r="M35">
            <v>692.19</v>
          </cell>
          <cell r="N35">
            <v>10.43</v>
          </cell>
          <cell r="O35">
            <v>10.43</v>
          </cell>
          <cell r="P35">
            <v>0.115</v>
          </cell>
        </row>
        <row r="36">
          <cell r="J36">
            <v>5.9530000000000003</v>
          </cell>
          <cell r="K36">
            <v>0.32700000000000001</v>
          </cell>
          <cell r="L36">
            <v>9.6000000000000002E-2</v>
          </cell>
          <cell r="M36">
            <v>1590.95</v>
          </cell>
          <cell r="N36">
            <v>10.43</v>
          </cell>
          <cell r="O36">
            <v>10.43</v>
          </cell>
          <cell r="P36">
            <v>0.115</v>
          </cell>
        </row>
        <row r="37">
          <cell r="J37">
            <v>5.9530000000000003</v>
          </cell>
          <cell r="K37">
            <v>0.32700000000000001</v>
          </cell>
          <cell r="L37">
            <v>9.6000000000000002E-2</v>
          </cell>
          <cell r="M37">
            <v>2871.8</v>
          </cell>
          <cell r="N37">
            <v>10.43</v>
          </cell>
          <cell r="O37">
            <v>10.43</v>
          </cell>
          <cell r="P37">
            <v>0.115</v>
          </cell>
        </row>
        <row r="38">
          <cell r="J38">
            <v>5.9530000000000003</v>
          </cell>
          <cell r="K38">
            <v>0.32700000000000001</v>
          </cell>
          <cell r="L38">
            <v>9.6000000000000002E-2</v>
          </cell>
          <cell r="M38">
            <v>6566.48</v>
          </cell>
          <cell r="N38">
            <v>10.43</v>
          </cell>
          <cell r="O38">
            <v>10.43</v>
          </cell>
          <cell r="P38">
            <v>0.115</v>
          </cell>
        </row>
        <row r="39">
          <cell r="J39">
            <v>65.378</v>
          </cell>
          <cell r="K39">
            <v>3.2240000000000002</v>
          </cell>
          <cell r="L39">
            <v>1.8819999999999999</v>
          </cell>
          <cell r="M39">
            <v>0</v>
          </cell>
          <cell r="N39">
            <v>0</v>
          </cell>
          <cell r="O39">
            <v>0</v>
          </cell>
          <cell r="P39">
            <v>0</v>
          </cell>
        </row>
        <row r="40">
          <cell r="J40">
            <v>-12.885999999999999</v>
          </cell>
          <cell r="K40">
            <v>-1.0629999999999999</v>
          </cell>
          <cell r="L40">
            <v>-0.20399999999999999</v>
          </cell>
          <cell r="M40">
            <v>0</v>
          </cell>
          <cell r="N40">
            <v>0</v>
          </cell>
          <cell r="O40">
            <v>0</v>
          </cell>
          <cell r="P40">
            <v>0</v>
          </cell>
        </row>
        <row r="41">
          <cell r="J41">
            <v>-11.227</v>
          </cell>
          <cell r="K41">
            <v>-0.88800000000000001</v>
          </cell>
          <cell r="L41">
            <v>-0.17899999999999999</v>
          </cell>
          <cell r="M41">
            <v>0</v>
          </cell>
          <cell r="N41">
            <v>0</v>
          </cell>
          <cell r="O41">
            <v>0</v>
          </cell>
          <cell r="P41">
            <v>0</v>
          </cell>
        </row>
        <row r="42">
          <cell r="J42">
            <v>-12.885999999999999</v>
          </cell>
          <cell r="K42">
            <v>-1.0629999999999999</v>
          </cell>
          <cell r="L42">
            <v>-0.20399999999999999</v>
          </cell>
          <cell r="M42">
            <v>0</v>
          </cell>
          <cell r="N42">
            <v>0</v>
          </cell>
          <cell r="O42">
            <v>0</v>
          </cell>
          <cell r="P42">
            <v>0.35499999999999998</v>
          </cell>
        </row>
        <row r="43">
          <cell r="J43">
            <v>-12.885999999999999</v>
          </cell>
          <cell r="K43">
            <v>-1.0629999999999999</v>
          </cell>
          <cell r="L43">
            <v>-0.20399999999999999</v>
          </cell>
          <cell r="M43">
            <v>0</v>
          </cell>
          <cell r="N43">
            <v>0</v>
          </cell>
          <cell r="O43">
            <v>0</v>
          </cell>
          <cell r="P43">
            <v>0</v>
          </cell>
        </row>
        <row r="44">
          <cell r="J44">
            <v>-11.227</v>
          </cell>
          <cell r="K44">
            <v>-0.88800000000000001</v>
          </cell>
          <cell r="L44">
            <v>-0.17899999999999999</v>
          </cell>
          <cell r="M44">
            <v>0</v>
          </cell>
          <cell r="N44">
            <v>0</v>
          </cell>
          <cell r="O44">
            <v>0</v>
          </cell>
          <cell r="P44">
            <v>0.26600000000000001</v>
          </cell>
        </row>
        <row r="45">
          <cell r="J45">
            <v>-11.227</v>
          </cell>
          <cell r="K45">
            <v>-0.88800000000000001</v>
          </cell>
          <cell r="L45">
            <v>-0.17899999999999999</v>
          </cell>
          <cell r="M45">
            <v>0</v>
          </cell>
          <cell r="N45">
            <v>0</v>
          </cell>
          <cell r="O45">
            <v>0</v>
          </cell>
          <cell r="P45">
            <v>0</v>
          </cell>
        </row>
        <row r="46">
          <cell r="J46">
            <v>-6.8109999999999999</v>
          </cell>
          <cell r="K46">
            <v>-0.41899999999999998</v>
          </cell>
          <cell r="L46">
            <v>-0.112</v>
          </cell>
          <cell r="M46">
            <v>80.63</v>
          </cell>
          <cell r="N46">
            <v>0</v>
          </cell>
          <cell r="O46">
            <v>0</v>
          </cell>
          <cell r="P46">
            <v>0.22700000000000001</v>
          </cell>
        </row>
        <row r="47">
          <cell r="J47">
            <v>-6.8109999999999999</v>
          </cell>
          <cell r="K47">
            <v>-0.41899999999999998</v>
          </cell>
          <cell r="L47">
            <v>-0.112</v>
          </cell>
          <cell r="M47">
            <v>80.63</v>
          </cell>
          <cell r="N47">
            <v>0</v>
          </cell>
          <cell r="O47">
            <v>0</v>
          </cell>
          <cell r="P47">
            <v>0</v>
          </cell>
        </row>
      </sheetData>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6" tint="0.39997558519241921"/>
  </sheetPr>
  <dimension ref="A2:I43"/>
  <sheetViews>
    <sheetView showGridLines="0" zoomScale="75" zoomScaleNormal="75" workbookViewId="0">
      <selection activeCell="C7" sqref="C7"/>
    </sheetView>
  </sheetViews>
  <sheetFormatPr defaultRowHeight="14.4" x14ac:dyDescent="0.3"/>
  <cols>
    <col min="1" max="1" width="2.6640625" customWidth="1"/>
    <col min="2" max="2" width="26.33203125" bestFit="1" customWidth="1"/>
    <col min="3" max="3" width="32.109375" bestFit="1" customWidth="1"/>
    <col min="4" max="4" width="41.109375" customWidth="1"/>
    <col min="5" max="5" width="8.6640625" customWidth="1"/>
  </cols>
  <sheetData>
    <row r="2" spans="1:9" s="72" customFormat="1" x14ac:dyDescent="0.3">
      <c r="A2" s="69"/>
      <c r="B2" s="70" t="s">
        <v>359</v>
      </c>
      <c r="C2" s="70"/>
      <c r="D2" s="70"/>
      <c r="E2" s="71"/>
      <c r="F2" s="71"/>
      <c r="G2" s="71"/>
      <c r="H2" s="71"/>
      <c r="I2" s="70"/>
    </row>
    <row r="3" spans="1:9" x14ac:dyDescent="0.3">
      <c r="B3" t="s">
        <v>360</v>
      </c>
    </row>
    <row r="4" spans="1:9" s="72" customFormat="1" x14ac:dyDescent="0.3">
      <c r="A4" s="69"/>
      <c r="B4" s="69"/>
      <c r="C4" s="73"/>
      <c r="D4" s="73"/>
    </row>
    <row r="5" spans="1:9" x14ac:dyDescent="0.3">
      <c r="B5" s="86" t="s">
        <v>305</v>
      </c>
      <c r="C5" s="486" t="s">
        <v>408</v>
      </c>
    </row>
    <row r="6" spans="1:9" x14ac:dyDescent="0.3">
      <c r="B6" s="86" t="s">
        <v>306</v>
      </c>
      <c r="C6" s="501">
        <v>45689</v>
      </c>
    </row>
    <row r="7" spans="1:9" x14ac:dyDescent="0.3">
      <c r="B7" s="81"/>
      <c r="C7" s="15"/>
    </row>
    <row r="8" spans="1:9" x14ac:dyDescent="0.3">
      <c r="B8" s="87" t="s">
        <v>308</v>
      </c>
      <c r="C8" s="10" t="str">
        <f>IF(MONTH(C6)&lt;4,YEAR(C6)-1&amp;"/"&amp;YEAR(C6)-2000,YEAR(C6)&amp;"/"&amp;YEAR(C6)+1-2000)</f>
        <v>2024/25</v>
      </c>
    </row>
    <row r="9" spans="1:9" x14ac:dyDescent="0.3">
      <c r="C9" s="63"/>
    </row>
    <row r="10" spans="1:9" s="72" customFormat="1" x14ac:dyDescent="0.3">
      <c r="A10" s="69"/>
      <c r="B10" s="70" t="s">
        <v>361</v>
      </c>
      <c r="C10" s="70"/>
      <c r="D10" s="70"/>
      <c r="E10" s="71"/>
      <c r="F10" s="71"/>
      <c r="G10" s="71"/>
      <c r="H10" s="71"/>
      <c r="I10" s="70"/>
    </row>
    <row r="11" spans="1:9" s="72" customFormat="1" x14ac:dyDescent="0.3">
      <c r="A11" s="69"/>
      <c r="B11" s="69"/>
      <c r="C11" s="73"/>
      <c r="D11" s="73"/>
    </row>
    <row r="12" spans="1:9" s="72" customFormat="1" x14ac:dyDescent="0.3">
      <c r="A12" s="69"/>
      <c r="B12" s="89" t="s">
        <v>362</v>
      </c>
      <c r="C12" s="89" t="s">
        <v>173</v>
      </c>
      <c r="D12" s="74"/>
    </row>
    <row r="13" spans="1:9" s="72" customFormat="1" x14ac:dyDescent="0.3">
      <c r="A13" s="69"/>
      <c r="B13" s="90"/>
      <c r="C13" s="91" t="s">
        <v>363</v>
      </c>
    </row>
    <row r="14" spans="1:9" x14ac:dyDescent="0.3">
      <c r="B14" s="93" t="s">
        <v>364</v>
      </c>
      <c r="C14" s="92" t="s">
        <v>365</v>
      </c>
    </row>
    <row r="15" spans="1:9" x14ac:dyDescent="0.3">
      <c r="B15" s="94" t="s">
        <v>364</v>
      </c>
      <c r="C15" s="92" t="s">
        <v>366</v>
      </c>
    </row>
    <row r="16" spans="1:9" x14ac:dyDescent="0.3">
      <c r="B16" s="95" t="s">
        <v>364</v>
      </c>
      <c r="C16" s="92" t="s">
        <v>367</v>
      </c>
    </row>
    <row r="17" spans="1:9" x14ac:dyDescent="0.3">
      <c r="B17" s="434" t="s">
        <v>368</v>
      </c>
      <c r="C17" s="92" t="s">
        <v>402</v>
      </c>
    </row>
    <row r="18" spans="1:9" x14ac:dyDescent="0.3">
      <c r="B18" s="435" t="s">
        <v>368</v>
      </c>
      <c r="C18" s="92" t="s">
        <v>397</v>
      </c>
    </row>
    <row r="19" spans="1:9" x14ac:dyDescent="0.3">
      <c r="B19" s="438" t="s">
        <v>368</v>
      </c>
      <c r="C19" s="92" t="s">
        <v>403</v>
      </c>
    </row>
    <row r="20" spans="1:9" x14ac:dyDescent="0.3">
      <c r="B20" s="437" t="s">
        <v>368</v>
      </c>
      <c r="C20" s="92" t="s">
        <v>398</v>
      </c>
    </row>
    <row r="21" spans="1:9" x14ac:dyDescent="0.3">
      <c r="B21" s="436" t="s">
        <v>368</v>
      </c>
      <c r="C21" s="92" t="s">
        <v>396</v>
      </c>
    </row>
    <row r="22" spans="1:9" x14ac:dyDescent="0.3">
      <c r="B22" s="439" t="s">
        <v>368</v>
      </c>
      <c r="C22" s="92" t="s">
        <v>401</v>
      </c>
    </row>
    <row r="23" spans="1:9" x14ac:dyDescent="0.3">
      <c r="B23" s="440" t="s">
        <v>368</v>
      </c>
      <c r="C23" s="92" t="s">
        <v>400</v>
      </c>
    </row>
    <row r="24" spans="1:9" x14ac:dyDescent="0.3">
      <c r="B24" s="441" t="s">
        <v>368</v>
      </c>
      <c r="C24" s="92" t="s">
        <v>399</v>
      </c>
    </row>
    <row r="25" spans="1:9" x14ac:dyDescent="0.3">
      <c r="B25" s="96" t="s">
        <v>368</v>
      </c>
      <c r="C25" s="92" t="s">
        <v>369</v>
      </c>
    </row>
    <row r="26" spans="1:9" x14ac:dyDescent="0.3">
      <c r="B26" s="97" t="s">
        <v>368</v>
      </c>
      <c r="C26" s="92" t="s">
        <v>370</v>
      </c>
    </row>
    <row r="27" spans="1:9" x14ac:dyDescent="0.3">
      <c r="B27" s="98" t="s">
        <v>371</v>
      </c>
      <c r="C27" s="92" t="s">
        <v>372</v>
      </c>
    </row>
    <row r="28" spans="1:9" x14ac:dyDescent="0.3">
      <c r="B28" s="99" t="s">
        <v>371</v>
      </c>
      <c r="C28" s="92" t="s">
        <v>373</v>
      </c>
    </row>
    <row r="29" spans="1:9" x14ac:dyDescent="0.3">
      <c r="B29" s="92"/>
      <c r="C29" s="92"/>
    </row>
    <row r="30" spans="1:9" s="72" customFormat="1" x14ac:dyDescent="0.3">
      <c r="A30" s="69"/>
      <c r="B30" s="70" t="s">
        <v>328</v>
      </c>
      <c r="C30" s="70"/>
      <c r="D30" s="70"/>
      <c r="E30" s="71"/>
      <c r="F30" s="71"/>
      <c r="G30" s="71"/>
      <c r="H30" s="71"/>
      <c r="I30" s="70"/>
    </row>
    <row r="31" spans="1:9" s="72" customFormat="1" x14ac:dyDescent="0.3">
      <c r="A31" s="69"/>
      <c r="B31" s="69"/>
      <c r="C31" s="73"/>
      <c r="D31" s="73"/>
    </row>
    <row r="32" spans="1:9" s="72" customFormat="1" x14ac:dyDescent="0.3">
      <c r="A32" s="69"/>
      <c r="B32" s="85" t="s">
        <v>331</v>
      </c>
      <c r="C32" s="78">
        <v>45413</v>
      </c>
      <c r="D32" s="74"/>
    </row>
    <row r="33" spans="1:9" s="72" customFormat="1" x14ac:dyDescent="0.3">
      <c r="A33" s="69"/>
      <c r="B33" s="69"/>
      <c r="C33" s="79"/>
      <c r="D33" s="69"/>
    </row>
    <row r="34" spans="1:9" s="72" customFormat="1" x14ac:dyDescent="0.3">
      <c r="A34" s="69"/>
      <c r="B34" s="88" t="s">
        <v>332</v>
      </c>
      <c r="C34" s="80">
        <v>1</v>
      </c>
      <c r="D34" s="75"/>
    </row>
    <row r="35" spans="1:9" s="72" customFormat="1" x14ac:dyDescent="0.3">
      <c r="A35" s="69"/>
      <c r="B35" s="69"/>
      <c r="C35" s="69"/>
      <c r="D35" s="73"/>
    </row>
    <row r="36" spans="1:9" s="72" customFormat="1" x14ac:dyDescent="0.3">
      <c r="A36" s="69"/>
      <c r="B36" s="70" t="s">
        <v>329</v>
      </c>
      <c r="C36" s="70"/>
      <c r="D36" s="70"/>
      <c r="E36" s="71"/>
      <c r="F36" s="71"/>
      <c r="G36" s="71"/>
      <c r="H36" s="71"/>
      <c r="I36" s="70"/>
    </row>
    <row r="37" spans="1:9" s="72" customFormat="1" x14ac:dyDescent="0.3">
      <c r="A37" s="69"/>
      <c r="B37" s="69"/>
      <c r="C37" s="73"/>
      <c r="D37" s="69"/>
      <c r="E37" s="69"/>
    </row>
    <row r="38" spans="1:9" s="72" customFormat="1" x14ac:dyDescent="0.3">
      <c r="A38" s="69"/>
      <c r="B38" s="76" t="s">
        <v>333</v>
      </c>
      <c r="C38" s="76" t="s">
        <v>334</v>
      </c>
      <c r="D38" s="77" t="s">
        <v>330</v>
      </c>
    </row>
    <row r="39" spans="1:9" s="72" customFormat="1" ht="28.8" x14ac:dyDescent="0.3">
      <c r="A39" s="69"/>
      <c r="B39" s="502">
        <v>45413</v>
      </c>
      <c r="C39" s="503">
        <v>1</v>
      </c>
      <c r="D39" s="503" t="s">
        <v>335</v>
      </c>
    </row>
    <row r="40" spans="1:9" s="72" customFormat="1" x14ac:dyDescent="0.3">
      <c r="A40" s="69"/>
      <c r="B40" s="502"/>
      <c r="C40" s="503"/>
      <c r="D40" s="503"/>
    </row>
    <row r="41" spans="1:9" s="72" customFormat="1" x14ac:dyDescent="0.3">
      <c r="A41" s="69"/>
      <c r="B41" s="502"/>
      <c r="C41" s="503"/>
      <c r="D41" s="504"/>
    </row>
    <row r="42" spans="1:9" s="72" customFormat="1" x14ac:dyDescent="0.3">
      <c r="A42" s="69"/>
      <c r="B42" s="502"/>
      <c r="C42" s="503"/>
      <c r="D42" s="503"/>
    </row>
    <row r="43" spans="1:9" s="72" customFormat="1" x14ac:dyDescent="0.3">
      <c r="A43" s="69"/>
      <c r="B43" s="502"/>
      <c r="C43" s="503"/>
      <c r="D43" s="504"/>
    </row>
  </sheetData>
  <sheetProtection sheet="1" objects="1" scenarios="1"/>
  <dataValidations disablePrompts="1" count="2">
    <dataValidation type="date" operator="greaterThan" allowBlank="1" showInputMessage="1" showErrorMessage="1" promptTitle="Model date" prompt="Input a date" sqref="B39:B43">
      <formula1>43028</formula1>
    </dataValidation>
    <dataValidation type="whole" operator="greaterThan" allowBlank="1" showInputMessage="1" showErrorMessage="1" errorTitle="Stage model version" error="A positive integer value has not been selected" promptTitle="Stage model version" prompt="Input must be an integer. The value should return to 1 when a new development stage is reached." sqref="C39:C43">
      <formula1>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39997558519241921"/>
  </sheetPr>
  <dimension ref="A2:D10"/>
  <sheetViews>
    <sheetView showGridLines="0" workbookViewId="0">
      <selection activeCell="D9" sqref="D9"/>
    </sheetView>
  </sheetViews>
  <sheetFormatPr defaultRowHeight="14.4" x14ac:dyDescent="0.3"/>
  <cols>
    <col min="1" max="1" width="20" bestFit="1" customWidth="1"/>
    <col min="2" max="2" width="14.5546875" customWidth="1"/>
    <col min="3" max="3" width="14.44140625" bestFit="1" customWidth="1"/>
    <col min="4" max="4" width="72.33203125" bestFit="1" customWidth="1"/>
  </cols>
  <sheetData>
    <row r="2" spans="1:4" x14ac:dyDescent="0.3">
      <c r="A2" s="89" t="s">
        <v>338</v>
      </c>
      <c r="B2" s="89" t="s">
        <v>339</v>
      </c>
      <c r="C2" s="89" t="s">
        <v>347</v>
      </c>
      <c r="D2" s="89" t="s">
        <v>340</v>
      </c>
    </row>
    <row r="3" spans="1:4" ht="24" customHeight="1" x14ac:dyDescent="0.3">
      <c r="A3" s="83" t="s">
        <v>341</v>
      </c>
      <c r="B3" s="83" t="s">
        <v>346</v>
      </c>
      <c r="C3" s="83" t="s">
        <v>342</v>
      </c>
      <c r="D3" s="82" t="s">
        <v>343</v>
      </c>
    </row>
    <row r="4" spans="1:4" ht="24.75" customHeight="1" x14ac:dyDescent="0.3">
      <c r="A4" s="83" t="s">
        <v>341</v>
      </c>
      <c r="B4" s="83" t="s">
        <v>345</v>
      </c>
      <c r="C4" s="83" t="s">
        <v>342</v>
      </c>
      <c r="D4" s="82" t="s">
        <v>344</v>
      </c>
    </row>
    <row r="5" spans="1:4" ht="26.25" customHeight="1" x14ac:dyDescent="0.3">
      <c r="A5" s="83" t="s">
        <v>348</v>
      </c>
      <c r="B5" s="83" t="s">
        <v>349</v>
      </c>
      <c r="C5" s="83" t="s">
        <v>342</v>
      </c>
      <c r="D5" s="82" t="s">
        <v>386</v>
      </c>
    </row>
    <row r="6" spans="1:4" ht="30.75" customHeight="1" x14ac:dyDescent="0.3">
      <c r="A6" s="83" t="s">
        <v>350</v>
      </c>
      <c r="B6" s="83" t="s">
        <v>349</v>
      </c>
      <c r="C6" s="83" t="s">
        <v>342</v>
      </c>
      <c r="D6" s="82" t="s">
        <v>351</v>
      </c>
    </row>
    <row r="7" spans="1:4" ht="59.25" customHeight="1" x14ac:dyDescent="0.3">
      <c r="A7" s="83" t="s">
        <v>384</v>
      </c>
      <c r="B7" s="83" t="s">
        <v>349</v>
      </c>
      <c r="C7" s="83" t="s">
        <v>342</v>
      </c>
      <c r="D7" s="84" t="s">
        <v>385</v>
      </c>
    </row>
    <row r="8" spans="1:4" ht="78" customHeight="1" x14ac:dyDescent="0.3">
      <c r="A8" s="83" t="s">
        <v>352</v>
      </c>
      <c r="B8" s="83" t="s">
        <v>353</v>
      </c>
      <c r="C8" s="83" t="s">
        <v>342</v>
      </c>
      <c r="D8" s="84" t="s">
        <v>407</v>
      </c>
    </row>
    <row r="9" spans="1:4" ht="57" customHeight="1" x14ac:dyDescent="0.3">
      <c r="A9" s="83" t="s">
        <v>352</v>
      </c>
      <c r="B9" s="83" t="s">
        <v>355</v>
      </c>
      <c r="C9" s="83" t="s">
        <v>354</v>
      </c>
      <c r="D9" s="84" t="s">
        <v>357</v>
      </c>
    </row>
    <row r="10" spans="1:4" ht="44.25" customHeight="1" x14ac:dyDescent="0.3">
      <c r="A10" s="83" t="s">
        <v>352</v>
      </c>
      <c r="B10" s="83" t="s">
        <v>358</v>
      </c>
      <c r="C10" s="83" t="s">
        <v>354</v>
      </c>
      <c r="D10" s="84" t="s">
        <v>356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tint="0.79998168889431442"/>
    <pageSetUpPr fitToPage="1"/>
  </sheetPr>
  <dimension ref="A1:J107"/>
  <sheetViews>
    <sheetView tabSelected="1" zoomScale="70" zoomScaleNormal="70" workbookViewId="0">
      <pane xSplit="3" ySplit="5" topLeftCell="D6" activePane="bottomRight" state="frozen"/>
      <selection activeCell="I40" sqref="I40"/>
      <selection pane="topRight" activeCell="I40" sqref="I40"/>
      <selection pane="bottomLeft" activeCell="I40" sqref="I40"/>
      <selection pane="bottomRight" activeCell="J20" sqref="J20"/>
    </sheetView>
  </sheetViews>
  <sheetFormatPr defaultRowHeight="14.4" outlineLevelRow="1" x14ac:dyDescent="0.3"/>
  <cols>
    <col min="1" max="1" width="86.6640625" style="7" bestFit="1" customWidth="1"/>
    <col min="2" max="2" width="19.88671875" style="15" bestFit="1" customWidth="1"/>
    <col min="3" max="3" width="19.6640625" style="15" bestFit="1" customWidth="1"/>
    <col min="4" max="5" width="11.44140625" style="15" bestFit="1" customWidth="1"/>
    <col min="6" max="7" width="11.6640625" style="15" bestFit="1" customWidth="1"/>
    <col min="8" max="8" width="11.44140625" style="15" customWidth="1"/>
    <col min="9" max="9" width="11.6640625" style="15" bestFit="1" customWidth="1"/>
    <col min="10" max="10" width="89.109375" style="41" customWidth="1"/>
  </cols>
  <sheetData>
    <row r="1" spans="1:10" x14ac:dyDescent="0.3">
      <c r="A1" s="64" t="s">
        <v>305</v>
      </c>
      <c r="B1" s="65" t="str">
        <f>IF(Cover!C5="","Enter Company Name",Cover!C5)</f>
        <v>NGED South Wales</v>
      </c>
    </row>
    <row r="2" spans="1:10" x14ac:dyDescent="0.3">
      <c r="A2" s="64" t="s">
        <v>306</v>
      </c>
      <c r="B2" s="66">
        <f>IF(Cover!C6="","Enter Date",Cover!C6)</f>
        <v>45689</v>
      </c>
    </row>
    <row r="3" spans="1:10" ht="15" thickBot="1" x14ac:dyDescent="0.35">
      <c r="A3" s="64" t="s">
        <v>307</v>
      </c>
      <c r="B3" s="65" t="s">
        <v>309</v>
      </c>
    </row>
    <row r="4" spans="1:10" x14ac:dyDescent="0.3">
      <c r="A4" s="100" t="s">
        <v>87</v>
      </c>
      <c r="B4" s="101"/>
      <c r="C4" s="169"/>
      <c r="D4" s="171" t="str">
        <f>IF(Cover!$C$6="","Reg Year",LEFT(E4,4)-1&amp;"/"&amp;RIGHT(E4,2)-1)</f>
        <v>2023/24</v>
      </c>
      <c r="E4" s="102" t="str">
        <f>IF(Cover!$C$6="","Reg Year",Cover!C8)</f>
        <v>2024/25</v>
      </c>
      <c r="F4" s="102" t="str">
        <f>IF(Cover!$C$6="","Reg Year",LEFT(E4,4)+1&amp;"/"&amp;RIGHT(E4,2)+1)</f>
        <v>2025/26</v>
      </c>
      <c r="G4" s="102" t="str">
        <f>IF(Cover!$C$6="","Reg Year",LEFT(F4,4)+1&amp;"/"&amp;RIGHT(F4,2)+1)</f>
        <v>2026/27</v>
      </c>
      <c r="H4" s="102" t="str">
        <f>IF(Cover!$C$6="","Reg Year",LEFT(G4,4)+1&amp;"/"&amp;RIGHT(G4,2)+1)</f>
        <v>2027/28</v>
      </c>
      <c r="I4" s="103" t="str">
        <f>IF(Cover!$C$6="","Reg Year",LEFT(H4,4)+1&amp;"/"&amp;RIGHT(H4,2)+1)</f>
        <v>2028/29</v>
      </c>
      <c r="J4" s="110" t="s">
        <v>300</v>
      </c>
    </row>
    <row r="5" spans="1:10" ht="15" thickBot="1" x14ac:dyDescent="0.35">
      <c r="A5" s="104"/>
      <c r="B5" s="105"/>
      <c r="C5" s="170"/>
      <c r="D5" s="508" t="s">
        <v>313</v>
      </c>
      <c r="E5" s="509" t="s">
        <v>312</v>
      </c>
      <c r="F5" s="509" t="s">
        <v>314</v>
      </c>
      <c r="G5" s="509" t="s">
        <v>315</v>
      </c>
      <c r="H5" s="509" t="s">
        <v>316</v>
      </c>
      <c r="I5" s="510" t="s">
        <v>317</v>
      </c>
      <c r="J5" s="111"/>
    </row>
    <row r="6" spans="1:10" outlineLevel="1" x14ac:dyDescent="0.3">
      <c r="A6" s="360" t="s">
        <v>88</v>
      </c>
      <c r="B6" s="319" t="s">
        <v>1</v>
      </c>
      <c r="C6" s="294"/>
      <c r="D6" s="456">
        <f>[1]Totex!AR12</f>
        <v>23.942298797314344</v>
      </c>
      <c r="E6" s="456">
        <f>[1]Totex!AS12</f>
        <v>19.632138621215002</v>
      </c>
      <c r="F6" s="456">
        <f>[1]Totex!AT12</f>
        <v>25.251082957454408</v>
      </c>
      <c r="G6" s="456">
        <f>[1]Totex!AU12</f>
        <v>26.741625609498701</v>
      </c>
      <c r="H6" s="456">
        <f>[1]Totex!AV12</f>
        <v>20.106267690446479</v>
      </c>
      <c r="I6" s="456">
        <f>H6</f>
        <v>20.106267690446479</v>
      </c>
      <c r="J6" s="505" t="s">
        <v>195</v>
      </c>
    </row>
    <row r="7" spans="1:10" outlineLevel="1" x14ac:dyDescent="0.3">
      <c r="A7" s="361" t="s">
        <v>89</v>
      </c>
      <c r="B7" s="323" t="s">
        <v>1</v>
      </c>
      <c r="C7" s="298"/>
      <c r="D7" s="456">
        <f>[1]Totex!AR13</f>
        <v>53.214055431076581</v>
      </c>
      <c r="E7" s="456">
        <f>[1]Totex!AS13</f>
        <v>52.421703636871385</v>
      </c>
      <c r="F7" s="456">
        <f>[1]Totex!AT13</f>
        <v>57.12542775121274</v>
      </c>
      <c r="G7" s="456">
        <f>[1]Totex!AU13</f>
        <v>47.179280117293409</v>
      </c>
      <c r="H7" s="456">
        <f>[1]Totex!AV13</f>
        <v>46.7812622816611</v>
      </c>
      <c r="I7" s="456">
        <f>H7</f>
        <v>46.7812622816611</v>
      </c>
      <c r="J7" s="506" t="s">
        <v>196</v>
      </c>
    </row>
    <row r="8" spans="1:10" outlineLevel="1" x14ac:dyDescent="0.3">
      <c r="A8" s="361" t="s">
        <v>90</v>
      </c>
      <c r="B8" s="323" t="s">
        <v>1</v>
      </c>
      <c r="C8" s="298"/>
      <c r="D8" s="456">
        <f>[1]Totex!AR14</f>
        <v>20.544735519633612</v>
      </c>
      <c r="E8" s="456">
        <f>[1]Totex!AS14</f>
        <v>21.414693991259981</v>
      </c>
      <c r="F8" s="456">
        <f>[1]Totex!AT14</f>
        <v>23.636696639088097</v>
      </c>
      <c r="G8" s="456">
        <f>[1]Totex!AU14</f>
        <v>16.835925964165774</v>
      </c>
      <c r="H8" s="456">
        <f>[1]Totex!AV14</f>
        <v>16.002684092386424</v>
      </c>
      <c r="I8" s="456">
        <f t="shared" ref="I8:I12" si="0">H8</f>
        <v>16.002684092386424</v>
      </c>
      <c r="J8" s="506" t="s">
        <v>197</v>
      </c>
    </row>
    <row r="9" spans="1:10" outlineLevel="1" x14ac:dyDescent="0.3">
      <c r="A9" s="361" t="s">
        <v>91</v>
      </c>
      <c r="B9" s="323" t="s">
        <v>1</v>
      </c>
      <c r="C9" s="298"/>
      <c r="D9" s="456">
        <f>[1]Totex!AR15</f>
        <v>12.047546368985477</v>
      </c>
      <c r="E9" s="456">
        <f>[1]Totex!AS15</f>
        <v>12.077319319245829</v>
      </c>
      <c r="F9" s="456">
        <f>[1]Totex!AT15</f>
        <v>11.965064194068201</v>
      </c>
      <c r="G9" s="456">
        <f>[1]Totex!AU15</f>
        <v>11.759103152962293</v>
      </c>
      <c r="H9" s="456">
        <f>[1]Totex!AV15</f>
        <v>11.79947288312265</v>
      </c>
      <c r="I9" s="456">
        <f t="shared" si="0"/>
        <v>11.79947288312265</v>
      </c>
      <c r="J9" s="506" t="s">
        <v>198</v>
      </c>
    </row>
    <row r="10" spans="1:10" outlineLevel="1" x14ac:dyDescent="0.3">
      <c r="A10" s="361" t="s">
        <v>92</v>
      </c>
      <c r="B10" s="323" t="s">
        <v>1</v>
      </c>
      <c r="C10" s="298"/>
      <c r="D10" s="456">
        <f>[1]Totex!AR16</f>
        <v>9.3358224877940561</v>
      </c>
      <c r="E10" s="456">
        <f>[1]Totex!AS16</f>
        <v>9.6921315921204005</v>
      </c>
      <c r="F10" s="456">
        <f>[1]Totex!AT16</f>
        <v>10.087309706515805</v>
      </c>
      <c r="G10" s="456">
        <f>[1]Totex!AU16</f>
        <v>8.9753691701105804</v>
      </c>
      <c r="H10" s="456">
        <f>[1]Totex!AV16</f>
        <v>9.064716836266669</v>
      </c>
      <c r="I10" s="456">
        <f t="shared" si="0"/>
        <v>9.064716836266669</v>
      </c>
      <c r="J10" s="506" t="s">
        <v>199</v>
      </c>
    </row>
    <row r="11" spans="1:10" outlineLevel="1" x14ac:dyDescent="0.3">
      <c r="A11" s="361" t="s">
        <v>93</v>
      </c>
      <c r="B11" s="323" t="s">
        <v>1</v>
      </c>
      <c r="C11" s="298"/>
      <c r="D11" s="456">
        <f>[1]Totex!AR17</f>
        <v>10.771260250633643</v>
      </c>
      <c r="E11" s="456">
        <f>[1]Totex!AS17</f>
        <v>10.641803199225851</v>
      </c>
      <c r="F11" s="456">
        <f>[1]Totex!AT17</f>
        <v>10.396580083414063</v>
      </c>
      <c r="G11" s="456">
        <f>[1]Totex!AU17</f>
        <v>10.395689923314224</v>
      </c>
      <c r="H11" s="456">
        <f>[1]Totex!AV17</f>
        <v>10.263979322759841</v>
      </c>
      <c r="I11" s="456">
        <f t="shared" si="0"/>
        <v>10.263979322759841</v>
      </c>
      <c r="J11" s="506" t="s">
        <v>200</v>
      </c>
    </row>
    <row r="12" spans="1:10" outlineLevel="1" x14ac:dyDescent="0.3">
      <c r="A12" s="362" t="s">
        <v>94</v>
      </c>
      <c r="B12" s="327" t="s">
        <v>1</v>
      </c>
      <c r="C12" s="302"/>
      <c r="D12" s="456">
        <f>[1]Totex!AR18</f>
        <v>54.852690294428065</v>
      </c>
      <c r="E12" s="456">
        <f>[1]Totex!AS18</f>
        <v>53.618046040545579</v>
      </c>
      <c r="F12" s="456">
        <f>[1]Totex!AT18</f>
        <v>50.832968626231896</v>
      </c>
      <c r="G12" s="456">
        <f>[1]Totex!AU18</f>
        <v>50.420500513889557</v>
      </c>
      <c r="H12" s="456">
        <f>[1]Totex!AV18</f>
        <v>50.998454619463971</v>
      </c>
      <c r="I12" s="456">
        <f t="shared" si="0"/>
        <v>50.998454619463971</v>
      </c>
      <c r="J12" s="507" t="s">
        <v>201</v>
      </c>
    </row>
    <row r="13" spans="1:10" ht="15" thickBot="1" x14ac:dyDescent="0.35">
      <c r="A13" s="364" t="s">
        <v>95</v>
      </c>
      <c r="B13" s="306" t="s">
        <v>1</v>
      </c>
      <c r="C13" s="307"/>
      <c r="D13" s="399">
        <f>SUM(D6:D12)</f>
        <v>184.70840914986579</v>
      </c>
      <c r="E13" s="308">
        <f>SUM(E6:E12)</f>
        <v>179.49783640048403</v>
      </c>
      <c r="F13" s="308">
        <f t="shared" ref="F13:I13" si="1">SUM(F6:F12)</f>
        <v>189.29512995798521</v>
      </c>
      <c r="G13" s="308">
        <f t="shared" si="1"/>
        <v>172.30749445123453</v>
      </c>
      <c r="H13" s="308">
        <f t="shared" si="1"/>
        <v>165.01683772610716</v>
      </c>
      <c r="I13" s="309">
        <f t="shared" si="1"/>
        <v>165.01683772610716</v>
      </c>
      <c r="J13" s="400" t="s">
        <v>267</v>
      </c>
    </row>
    <row r="14" spans="1:10" outlineLevel="1" x14ac:dyDescent="0.3">
      <c r="A14" s="365" t="s">
        <v>97</v>
      </c>
      <c r="B14" s="311" t="s">
        <v>1</v>
      </c>
      <c r="C14" s="312" t="s">
        <v>286</v>
      </c>
      <c r="D14" s="456">
        <f>[1]InputSummary!AR61</f>
        <v>8.7897010826080049</v>
      </c>
      <c r="E14" s="456">
        <f>[1]InputSummary!AS61</f>
        <v>10.320127258145618</v>
      </c>
      <c r="F14" s="456">
        <f>[1]InputSummary!AT61</f>
        <v>24.636881730744648</v>
      </c>
      <c r="G14" s="456">
        <f>[1]InputSummary!AU61</f>
        <v>33.907473315977974</v>
      </c>
      <c r="H14" s="456">
        <f>[1]InputSummary!AV61</f>
        <v>34.560002293776847</v>
      </c>
      <c r="I14" s="456">
        <f>H14</f>
        <v>34.560002293776847</v>
      </c>
      <c r="J14" s="401" t="s">
        <v>202</v>
      </c>
    </row>
    <row r="15" spans="1:10" outlineLevel="1" x14ac:dyDescent="0.3">
      <c r="A15" s="366" t="s">
        <v>98</v>
      </c>
      <c r="B15" s="313" t="s">
        <v>1</v>
      </c>
      <c r="C15" s="314" t="s">
        <v>287</v>
      </c>
      <c r="D15" s="456">
        <f>[1]InputSummary!AR62</f>
        <v>43.6519120681061</v>
      </c>
      <c r="E15" s="456">
        <f>[1]InputSummary!AS62</f>
        <v>52.297060331331693</v>
      </c>
      <c r="F15" s="456">
        <f>[1]InputSummary!AT62</f>
        <v>50.732063376454647</v>
      </c>
      <c r="G15" s="456">
        <f>[1]InputSummary!AU62</f>
        <v>43.495098852750729</v>
      </c>
      <c r="H15" s="456">
        <f>[1]InputSummary!AV62</f>
        <v>47.115762773170864</v>
      </c>
      <c r="I15" s="456">
        <f t="shared" ref="I15:I20" si="2">H15</f>
        <v>47.115762773170864</v>
      </c>
      <c r="J15" s="402" t="s">
        <v>203</v>
      </c>
    </row>
    <row r="16" spans="1:10" outlineLevel="1" x14ac:dyDescent="0.3">
      <c r="A16" s="366" t="s">
        <v>99</v>
      </c>
      <c r="B16" s="313" t="s">
        <v>1</v>
      </c>
      <c r="C16" s="314" t="s">
        <v>288</v>
      </c>
      <c r="D16" s="456">
        <f>[1]InputSummary!AR63</f>
        <v>9.3008175608253847</v>
      </c>
      <c r="E16" s="456">
        <f>[1]InputSummary!AS63</f>
        <v>20.631374938805546</v>
      </c>
      <c r="F16" s="456">
        <f>[1]InputSummary!AT63</f>
        <v>18.710400604521201</v>
      </c>
      <c r="G16" s="456">
        <f>[1]InputSummary!AU63</f>
        <v>12.895149543441541</v>
      </c>
      <c r="H16" s="456">
        <f>[1]InputSummary!AV63</f>
        <v>11.314762725075049</v>
      </c>
      <c r="I16" s="456">
        <f t="shared" si="2"/>
        <v>11.314762725075049</v>
      </c>
      <c r="J16" s="402" t="s">
        <v>204</v>
      </c>
    </row>
    <row r="17" spans="1:10" outlineLevel="1" x14ac:dyDescent="0.3">
      <c r="A17" s="366" t="s">
        <v>100</v>
      </c>
      <c r="B17" s="313" t="s">
        <v>1</v>
      </c>
      <c r="C17" s="314" t="s">
        <v>289</v>
      </c>
      <c r="D17" s="456">
        <f>[1]InputSummary!AR64</f>
        <v>13.831141198731311</v>
      </c>
      <c r="E17" s="456">
        <f>[1]InputSummary!AS64</f>
        <v>11.757554888642677</v>
      </c>
      <c r="F17" s="456">
        <f>[1]InputSummary!AT64</f>
        <v>10.881545752063463</v>
      </c>
      <c r="G17" s="456">
        <f>[1]InputSummary!AU64</f>
        <v>10.586434573150534</v>
      </c>
      <c r="H17" s="456">
        <f>[1]InputSummary!AV64</f>
        <v>10.218432343670607</v>
      </c>
      <c r="I17" s="456">
        <f t="shared" si="2"/>
        <v>10.218432343670607</v>
      </c>
      <c r="J17" s="402" t="s">
        <v>205</v>
      </c>
    </row>
    <row r="18" spans="1:10" outlineLevel="1" x14ac:dyDescent="0.3">
      <c r="A18" s="366" t="s">
        <v>101</v>
      </c>
      <c r="B18" s="313" t="s">
        <v>1</v>
      </c>
      <c r="C18" s="314" t="s">
        <v>290</v>
      </c>
      <c r="D18" s="456">
        <f>[1]InputSummary!AR65</f>
        <v>8.5830601327349836</v>
      </c>
      <c r="E18" s="456">
        <f>[1]InputSummary!AS65</f>
        <v>8.4373780603628425</v>
      </c>
      <c r="F18" s="456">
        <f>[1]InputSummary!AT65</f>
        <v>8.8588593834092535</v>
      </c>
      <c r="G18" s="456">
        <f>[1]InputSummary!AU65</f>
        <v>7.5916421943306887</v>
      </c>
      <c r="H18" s="456">
        <f>[1]InputSummary!AV65</f>
        <v>7.4095225411487036</v>
      </c>
      <c r="I18" s="456">
        <f t="shared" si="2"/>
        <v>7.4095225411487036</v>
      </c>
      <c r="J18" s="402" t="s">
        <v>206</v>
      </c>
    </row>
    <row r="19" spans="1:10" outlineLevel="1" x14ac:dyDescent="0.3">
      <c r="A19" s="366" t="s">
        <v>102</v>
      </c>
      <c r="B19" s="313" t="s">
        <v>1</v>
      </c>
      <c r="C19" s="314" t="s">
        <v>291</v>
      </c>
      <c r="D19" s="456">
        <f>[1]InputSummary!AR66</f>
        <v>11.660567643095652</v>
      </c>
      <c r="E19" s="456">
        <f>[1]InputSummary!AS66</f>
        <v>11.193928870388017</v>
      </c>
      <c r="F19" s="456">
        <f>[1]InputSummary!AT66</f>
        <v>11.258859956385262</v>
      </c>
      <c r="G19" s="456">
        <f>[1]InputSummary!AU66</f>
        <v>10.953522465973569</v>
      </c>
      <c r="H19" s="456">
        <f>[1]InputSummary!AV66</f>
        <v>11.124364699054023</v>
      </c>
      <c r="I19" s="456">
        <f t="shared" si="2"/>
        <v>11.124364699054023</v>
      </c>
      <c r="J19" s="402" t="s">
        <v>207</v>
      </c>
    </row>
    <row r="20" spans="1:10" outlineLevel="1" x14ac:dyDescent="0.3">
      <c r="A20" s="367" t="s">
        <v>103</v>
      </c>
      <c r="B20" s="315" t="s">
        <v>1</v>
      </c>
      <c r="C20" s="316" t="s">
        <v>292</v>
      </c>
      <c r="D20" s="456">
        <f>[1]InputSummary!AR67</f>
        <v>55.878087799799069</v>
      </c>
      <c r="E20" s="456">
        <f>[1]InputSummary!AS67</f>
        <v>50.442905477718142</v>
      </c>
      <c r="F20" s="456">
        <f>[1]InputSummary!AT67</f>
        <v>47.089413012551312</v>
      </c>
      <c r="G20" s="456">
        <f>[1]InputSummary!AU67</f>
        <v>43.839222051516629</v>
      </c>
      <c r="H20" s="456">
        <f>[1]InputSummary!AV67</f>
        <v>40.319265529951068</v>
      </c>
      <c r="I20" s="456">
        <f t="shared" si="2"/>
        <v>40.319265529951068</v>
      </c>
      <c r="J20" s="403" t="s">
        <v>208</v>
      </c>
    </row>
    <row r="21" spans="1:10" x14ac:dyDescent="0.3">
      <c r="A21" s="368" t="s">
        <v>104</v>
      </c>
      <c r="B21" s="25" t="s">
        <v>1</v>
      </c>
      <c r="C21" s="49"/>
      <c r="D21" s="173">
        <f>SUM(D14:D20)</f>
        <v>151.69528748590051</v>
      </c>
      <c r="E21" s="129">
        <f>SUM(E14:E20)</f>
        <v>165.08032982539453</v>
      </c>
      <c r="F21" s="129">
        <f t="shared" ref="F21" si="3">SUM(F14:F20)</f>
        <v>172.16802381612979</v>
      </c>
      <c r="G21" s="129">
        <f t="shared" ref="G21" si="4">SUM(G14:G20)</f>
        <v>163.26854299714165</v>
      </c>
      <c r="H21" s="129">
        <f t="shared" ref="H21" si="5">SUM(H14:H20)</f>
        <v>162.06211290584716</v>
      </c>
      <c r="I21" s="130">
        <f t="shared" ref="I21" si="6">SUM(I14:I20)</f>
        <v>162.06211290584716</v>
      </c>
      <c r="J21" s="31" t="s">
        <v>268</v>
      </c>
    </row>
    <row r="22" spans="1:10" x14ac:dyDescent="0.3">
      <c r="A22" s="368" t="s">
        <v>301</v>
      </c>
      <c r="B22" s="25" t="s">
        <v>254</v>
      </c>
      <c r="C22" s="49" t="s">
        <v>302</v>
      </c>
      <c r="D22" s="454">
        <f>[1]TIM!AR$17</f>
        <v>0.5</v>
      </c>
      <c r="E22" s="454">
        <f>[1]TIM!AS$17</f>
        <v>0.5</v>
      </c>
      <c r="F22" s="454">
        <f>[1]TIM!AT$17</f>
        <v>0.5</v>
      </c>
      <c r="G22" s="454">
        <f>[1]TIM!AU$17</f>
        <v>0.5</v>
      </c>
      <c r="H22" s="454">
        <f>[1]TIM!AV$17</f>
        <v>0.5</v>
      </c>
      <c r="I22" s="454">
        <f>H22</f>
        <v>0.5</v>
      </c>
      <c r="J22" s="31" t="s">
        <v>302</v>
      </c>
    </row>
    <row r="23" spans="1:10" ht="29.4" thickBot="1" x14ac:dyDescent="0.35">
      <c r="A23" s="359" t="s">
        <v>107</v>
      </c>
      <c r="B23" s="26" t="s">
        <v>1</v>
      </c>
      <c r="C23" s="50"/>
      <c r="D23" s="173">
        <f>IF(D21&gt;0,(D21-D13)*D22+D13,D13)</f>
        <v>168.20184831788316</v>
      </c>
      <c r="E23" s="129">
        <f>IF(E21&gt;0,(E21-E13)*E22+E13,E13)</f>
        <v>172.2890831129393</v>
      </c>
      <c r="F23" s="129">
        <f t="shared" ref="F23:I23" si="7">IF(F21&gt;0,(F21-F13)*F22+F13,F13)</f>
        <v>180.73157688705749</v>
      </c>
      <c r="G23" s="129">
        <f t="shared" si="7"/>
        <v>167.78801872418808</v>
      </c>
      <c r="H23" s="129">
        <f t="shared" si="7"/>
        <v>163.53947531597714</v>
      </c>
      <c r="I23" s="130">
        <f t="shared" si="7"/>
        <v>163.53947531597714</v>
      </c>
      <c r="J23" s="32" t="s">
        <v>303</v>
      </c>
    </row>
    <row r="24" spans="1:10" x14ac:dyDescent="0.3">
      <c r="A24" s="358" t="s">
        <v>255</v>
      </c>
      <c r="B24" s="45" t="s">
        <v>254</v>
      </c>
      <c r="C24" s="51"/>
      <c r="D24" s="455">
        <f>[1]TIM!AR$53</f>
        <v>0.78</v>
      </c>
      <c r="E24" s="455">
        <f>[1]TIM!AS$53</f>
        <v>0.78</v>
      </c>
      <c r="F24" s="455">
        <f>[1]TIM!AT$53</f>
        <v>0.78</v>
      </c>
      <c r="G24" s="455">
        <f>[1]TIM!AU$53</f>
        <v>0.78</v>
      </c>
      <c r="H24" s="455">
        <f>[1]TIM!AV$53</f>
        <v>0.78</v>
      </c>
      <c r="I24" s="455">
        <f>H24</f>
        <v>0.78</v>
      </c>
      <c r="J24" s="48" t="s">
        <v>257</v>
      </c>
    </row>
    <row r="25" spans="1:10" ht="15" thickBot="1" x14ac:dyDescent="0.35">
      <c r="A25" s="363" t="s">
        <v>106</v>
      </c>
      <c r="B25" s="317" t="s">
        <v>1</v>
      </c>
      <c r="C25" s="318"/>
      <c r="D25" s="399">
        <f>(1-D24)*D23</f>
        <v>37.004406629934294</v>
      </c>
      <c r="E25" s="308">
        <f>(1-E24)*E23</f>
        <v>37.903598284846638</v>
      </c>
      <c r="F25" s="308">
        <f t="shared" ref="F25:I25" si="8">(1-F24)*F23</f>
        <v>39.760946915152644</v>
      </c>
      <c r="G25" s="308">
        <f t="shared" si="8"/>
        <v>36.913364119321372</v>
      </c>
      <c r="H25" s="308">
        <f t="shared" si="8"/>
        <v>35.978684569514968</v>
      </c>
      <c r="I25" s="309">
        <f t="shared" si="8"/>
        <v>35.978684569514968</v>
      </c>
      <c r="J25" s="404" t="s">
        <v>259</v>
      </c>
    </row>
    <row r="26" spans="1:10" outlineLevel="1" x14ac:dyDescent="0.3">
      <c r="A26" s="360" t="s">
        <v>88</v>
      </c>
      <c r="B26" s="319" t="s">
        <v>1</v>
      </c>
      <c r="C26" s="320"/>
      <c r="D26" s="453">
        <f>[1]Totex!AR23</f>
        <v>2.5105585503539487</v>
      </c>
      <c r="E26" s="453">
        <f>[1]Totex!AS23</f>
        <v>6.036572871587401</v>
      </c>
      <c r="F26" s="453">
        <f>[1]Totex!AT23</f>
        <v>8.2701413194378208</v>
      </c>
      <c r="G26" s="453">
        <f>[1]Totex!AU23</f>
        <v>10.355772344221855</v>
      </c>
      <c r="H26" s="453">
        <f>[1]Totex!AV23</f>
        <v>26.750670029919327</v>
      </c>
      <c r="I26" s="453">
        <f>H26</f>
        <v>26.750670029919327</v>
      </c>
      <c r="J26" s="405" t="s">
        <v>209</v>
      </c>
    </row>
    <row r="27" spans="1:10" outlineLevel="1" x14ac:dyDescent="0.3">
      <c r="A27" s="361" t="s">
        <v>89</v>
      </c>
      <c r="B27" s="323" t="s">
        <v>1</v>
      </c>
      <c r="C27" s="324"/>
      <c r="D27" s="453">
        <f>[1]Totex!AR24</f>
        <v>1.6621750607198429</v>
      </c>
      <c r="E27" s="453">
        <f>[1]Totex!AS24</f>
        <v>2.3970943154660231</v>
      </c>
      <c r="F27" s="453">
        <f>[1]Totex!AT24</f>
        <v>2.1363335104648655</v>
      </c>
      <c r="G27" s="453">
        <f>[1]Totex!AU24</f>
        <v>0.80831122563339264</v>
      </c>
      <c r="H27" s="453">
        <f>[1]Totex!AV24</f>
        <v>0.46666134749772997</v>
      </c>
      <c r="I27" s="453">
        <f t="shared" ref="I27:I32" si="9">H27</f>
        <v>0.46666134749772997</v>
      </c>
      <c r="J27" s="406" t="s">
        <v>210</v>
      </c>
    </row>
    <row r="28" spans="1:10" outlineLevel="1" x14ac:dyDescent="0.3">
      <c r="A28" s="361" t="s">
        <v>90</v>
      </c>
      <c r="B28" s="323" t="s">
        <v>1</v>
      </c>
      <c r="C28" s="324"/>
      <c r="D28" s="453">
        <f>[1]Totex!AR25</f>
        <v>0.94443859180414125</v>
      </c>
      <c r="E28" s="453">
        <f>[1]Totex!AS25</f>
        <v>0.67767378376560672</v>
      </c>
      <c r="F28" s="453">
        <f>[1]Totex!AT25</f>
        <v>0.30100478541490572</v>
      </c>
      <c r="G28" s="453">
        <f>[1]Totex!AU25</f>
        <v>0.27125793658169417</v>
      </c>
      <c r="H28" s="453">
        <f>[1]Totex!AV25</f>
        <v>0.32218673894890892</v>
      </c>
      <c r="I28" s="453">
        <f t="shared" si="9"/>
        <v>0.32218673894890892</v>
      </c>
      <c r="J28" s="406" t="s">
        <v>211</v>
      </c>
    </row>
    <row r="29" spans="1:10" outlineLevel="1" x14ac:dyDescent="0.3">
      <c r="A29" s="361" t="s">
        <v>91</v>
      </c>
      <c r="B29" s="323" t="s">
        <v>1</v>
      </c>
      <c r="C29" s="324"/>
      <c r="D29" s="453">
        <f>[1]Totex!AR26</f>
        <v>0</v>
      </c>
      <c r="E29" s="453">
        <f>[1]Totex!AS26</f>
        <v>0.06</v>
      </c>
      <c r="F29" s="453">
        <f>[1]Totex!AT26</f>
        <v>1.49</v>
      </c>
      <c r="G29" s="453">
        <f>[1]Totex!AU26</f>
        <v>1.6800000000000002</v>
      </c>
      <c r="H29" s="453">
        <f>[1]Totex!AV26</f>
        <v>1.7200000000000002</v>
      </c>
      <c r="I29" s="453">
        <f t="shared" si="9"/>
        <v>1.7200000000000002</v>
      </c>
      <c r="J29" s="406" t="s">
        <v>212</v>
      </c>
    </row>
    <row r="30" spans="1:10" outlineLevel="1" x14ac:dyDescent="0.3">
      <c r="A30" s="361" t="s">
        <v>92</v>
      </c>
      <c r="B30" s="323" t="s">
        <v>1</v>
      </c>
      <c r="C30" s="324"/>
      <c r="D30" s="453">
        <f>[1]Totex!AR27</f>
        <v>0</v>
      </c>
      <c r="E30" s="453">
        <f>[1]Totex!AS27</f>
        <v>0</v>
      </c>
      <c r="F30" s="453">
        <f>[1]Totex!AT27</f>
        <v>0</v>
      </c>
      <c r="G30" s="453">
        <f>[1]Totex!AU27</f>
        <v>0</v>
      </c>
      <c r="H30" s="453">
        <f>[1]Totex!AV27</f>
        <v>0</v>
      </c>
      <c r="I30" s="453">
        <f t="shared" si="9"/>
        <v>0</v>
      </c>
      <c r="J30" s="406" t="s">
        <v>213</v>
      </c>
    </row>
    <row r="31" spans="1:10" outlineLevel="1" x14ac:dyDescent="0.3">
      <c r="A31" s="361" t="s">
        <v>93</v>
      </c>
      <c r="B31" s="323" t="s">
        <v>1</v>
      </c>
      <c r="C31" s="324"/>
      <c r="D31" s="453">
        <f>[1]Totex!AR28</f>
        <v>0</v>
      </c>
      <c r="E31" s="453">
        <f>[1]Totex!AS28</f>
        <v>0</v>
      </c>
      <c r="F31" s="453">
        <f>[1]Totex!AT28</f>
        <v>0</v>
      </c>
      <c r="G31" s="453">
        <f>[1]Totex!AU28</f>
        <v>0</v>
      </c>
      <c r="H31" s="453">
        <f>[1]Totex!AV28</f>
        <v>0</v>
      </c>
      <c r="I31" s="453">
        <f t="shared" si="9"/>
        <v>0</v>
      </c>
      <c r="J31" s="406" t="s">
        <v>214</v>
      </c>
    </row>
    <row r="32" spans="1:10" outlineLevel="1" x14ac:dyDescent="0.3">
      <c r="A32" s="362" t="s">
        <v>94</v>
      </c>
      <c r="B32" s="327" t="s">
        <v>1</v>
      </c>
      <c r="C32" s="328"/>
      <c r="D32" s="453">
        <f>[1]Totex!AR29</f>
        <v>0.30541644957920672</v>
      </c>
      <c r="E32" s="453">
        <f>[1]Totex!AS29</f>
        <v>0.6916848323106527</v>
      </c>
      <c r="F32" s="453">
        <f>[1]Totex!AT29</f>
        <v>0.92978700263986169</v>
      </c>
      <c r="G32" s="453">
        <f>[1]Totex!AU29</f>
        <v>1.1497072502062173</v>
      </c>
      <c r="H32" s="453">
        <f>[1]Totex!AV29</f>
        <v>2.9128916598070691</v>
      </c>
      <c r="I32" s="453">
        <f t="shared" si="9"/>
        <v>2.9128916598070691</v>
      </c>
      <c r="J32" s="407" t="s">
        <v>215</v>
      </c>
    </row>
    <row r="33" spans="1:10" ht="15" thickBot="1" x14ac:dyDescent="0.35">
      <c r="A33" s="364" t="s">
        <v>96</v>
      </c>
      <c r="B33" s="306" t="s">
        <v>1</v>
      </c>
      <c r="C33" s="307"/>
      <c r="D33" s="399">
        <f>SUM(D26:D32)</f>
        <v>5.4225886524571401</v>
      </c>
      <c r="E33" s="308">
        <f>SUM(E26:E32)</f>
        <v>9.863025803129684</v>
      </c>
      <c r="F33" s="308">
        <f t="shared" ref="F33" si="10">SUM(F26:F32)</f>
        <v>13.127266617957453</v>
      </c>
      <c r="G33" s="308">
        <f t="shared" ref="G33" si="11">SUM(G26:G32)</f>
        <v>14.265048756643159</v>
      </c>
      <c r="H33" s="308">
        <f t="shared" ref="H33" si="12">SUM(H26:H32)</f>
        <v>32.172409776173033</v>
      </c>
      <c r="I33" s="309">
        <f t="shared" ref="I33" si="13">SUM(I26:I32)</f>
        <v>32.172409776173033</v>
      </c>
      <c r="J33" s="400" t="s">
        <v>269</v>
      </c>
    </row>
    <row r="34" spans="1:10" outlineLevel="1" x14ac:dyDescent="0.3">
      <c r="A34" s="365" t="s">
        <v>97</v>
      </c>
      <c r="B34" s="311" t="s">
        <v>1</v>
      </c>
      <c r="C34" s="312" t="s">
        <v>293</v>
      </c>
      <c r="D34" s="453">
        <f>[1]InputSummary!AR72</f>
        <v>2.5713272738652373</v>
      </c>
      <c r="E34" s="453">
        <f>[1]InputSummary!AS72</f>
        <v>6.1529560979830196</v>
      </c>
      <c r="F34" s="453">
        <f>[1]InputSummary!AT72</f>
        <v>8.2484432610790446</v>
      </c>
      <c r="G34" s="453">
        <f>[1]InputSummary!AU72</f>
        <v>10.183986145075748</v>
      </c>
      <c r="H34" s="453">
        <f>[1]InputSummary!AV72</f>
        <v>26.468532498791376</v>
      </c>
      <c r="I34" s="453">
        <f>H34</f>
        <v>26.468532498791376</v>
      </c>
      <c r="J34" s="408" t="s">
        <v>216</v>
      </c>
    </row>
    <row r="35" spans="1:10" outlineLevel="1" x14ac:dyDescent="0.3">
      <c r="A35" s="366" t="s">
        <v>98</v>
      </c>
      <c r="B35" s="313" t="s">
        <v>1</v>
      </c>
      <c r="C35" s="314" t="s">
        <v>294</v>
      </c>
      <c r="D35" s="453">
        <f>[1]InputSummary!AR73</f>
        <v>2.5143279732494159</v>
      </c>
      <c r="E35" s="453">
        <f>[1]InputSummary!AS73</f>
        <v>3.4171808892921627</v>
      </c>
      <c r="F35" s="453">
        <f>[1]InputSummary!AT73</f>
        <v>4.1092062697607963</v>
      </c>
      <c r="G35" s="453">
        <f>[1]InputSummary!AU73</f>
        <v>2.3170268771155742</v>
      </c>
      <c r="H35" s="453">
        <f>[1]InputSummary!AV73</f>
        <v>2.0037288297383515</v>
      </c>
      <c r="I35" s="453">
        <f t="shared" ref="I35:I40" si="14">H35</f>
        <v>2.0037288297383515</v>
      </c>
      <c r="J35" s="409" t="s">
        <v>217</v>
      </c>
    </row>
    <row r="36" spans="1:10" outlineLevel="1" x14ac:dyDescent="0.3">
      <c r="A36" s="366" t="s">
        <v>99</v>
      </c>
      <c r="B36" s="313" t="s">
        <v>1</v>
      </c>
      <c r="C36" s="314" t="s">
        <v>295</v>
      </c>
      <c r="D36" s="453">
        <f>[1]InputSummary!AR74</f>
        <v>0.83826975268693793</v>
      </c>
      <c r="E36" s="453">
        <f>[1]InputSummary!AS74</f>
        <v>0.76996524583607351</v>
      </c>
      <c r="F36" s="453">
        <f>[1]InputSummary!AT74</f>
        <v>0.33054003665964243</v>
      </c>
      <c r="G36" s="453">
        <f>[1]InputSummary!AU74</f>
        <v>0.2856743455099725</v>
      </c>
      <c r="H36" s="453">
        <f>[1]InputSummary!AV74</f>
        <v>0.3358385469017347</v>
      </c>
      <c r="I36" s="453">
        <f t="shared" si="14"/>
        <v>0.3358385469017347</v>
      </c>
      <c r="J36" s="409" t="s">
        <v>218</v>
      </c>
    </row>
    <row r="37" spans="1:10" outlineLevel="1" x14ac:dyDescent="0.3">
      <c r="A37" s="366" t="s">
        <v>100</v>
      </c>
      <c r="B37" s="313" t="s">
        <v>1</v>
      </c>
      <c r="C37" s="314" t="s">
        <v>296</v>
      </c>
      <c r="D37" s="453">
        <f>[1]InputSummary!AR75</f>
        <v>0</v>
      </c>
      <c r="E37" s="453">
        <f>[1]InputSummary!AS75</f>
        <v>0</v>
      </c>
      <c r="F37" s="453">
        <f>[1]InputSummary!AT75</f>
        <v>0</v>
      </c>
      <c r="G37" s="453">
        <f>[1]InputSummary!AU75</f>
        <v>0</v>
      </c>
      <c r="H37" s="453">
        <f>[1]InputSummary!AV75</f>
        <v>0</v>
      </c>
      <c r="I37" s="453">
        <f t="shared" si="14"/>
        <v>0</v>
      </c>
      <c r="J37" s="409" t="s">
        <v>219</v>
      </c>
    </row>
    <row r="38" spans="1:10" outlineLevel="1" x14ac:dyDescent="0.3">
      <c r="A38" s="366" t="s">
        <v>101</v>
      </c>
      <c r="B38" s="313" t="s">
        <v>1</v>
      </c>
      <c r="C38" s="314" t="s">
        <v>297</v>
      </c>
      <c r="D38" s="453">
        <f>[1]InputSummary!AR76</f>
        <v>0</v>
      </c>
      <c r="E38" s="453">
        <f>[1]InputSummary!AS76</f>
        <v>0</v>
      </c>
      <c r="F38" s="453">
        <f>[1]InputSummary!AT76</f>
        <v>0</v>
      </c>
      <c r="G38" s="453">
        <f>[1]InputSummary!AU76</f>
        <v>0</v>
      </c>
      <c r="H38" s="453">
        <f>[1]InputSummary!AV76</f>
        <v>0</v>
      </c>
      <c r="I38" s="453">
        <f t="shared" si="14"/>
        <v>0</v>
      </c>
      <c r="J38" s="409" t="s">
        <v>220</v>
      </c>
    </row>
    <row r="39" spans="1:10" outlineLevel="1" x14ac:dyDescent="0.3">
      <c r="A39" s="366" t="s">
        <v>102</v>
      </c>
      <c r="B39" s="313" t="s">
        <v>1</v>
      </c>
      <c r="C39" s="314" t="s">
        <v>298</v>
      </c>
      <c r="D39" s="453">
        <f>[1]InputSummary!AR77</f>
        <v>0</v>
      </c>
      <c r="E39" s="453">
        <f>[1]InputSummary!AS77</f>
        <v>0</v>
      </c>
      <c r="F39" s="453">
        <f>[1]InputSummary!AT77</f>
        <v>0</v>
      </c>
      <c r="G39" s="453">
        <f>[1]InputSummary!AU77</f>
        <v>0</v>
      </c>
      <c r="H39" s="453">
        <f>[1]InputSummary!AV77</f>
        <v>0</v>
      </c>
      <c r="I39" s="453">
        <f t="shared" si="14"/>
        <v>0</v>
      </c>
      <c r="J39" s="409" t="s">
        <v>221</v>
      </c>
    </row>
    <row r="40" spans="1:10" outlineLevel="1" x14ac:dyDescent="0.3">
      <c r="A40" s="367" t="s">
        <v>103</v>
      </c>
      <c r="B40" s="315" t="s">
        <v>1</v>
      </c>
      <c r="C40" s="316" t="s">
        <v>299</v>
      </c>
      <c r="D40" s="453">
        <f>[1]InputSummary!AR78</f>
        <v>0.30777075735914255</v>
      </c>
      <c r="E40" s="453">
        <f>[1]InputSummary!AS78</f>
        <v>0.72714444486106977</v>
      </c>
      <c r="F40" s="453">
        <f>[1]InputSummary!AT78</f>
        <v>1.0864645009679739</v>
      </c>
      <c r="G40" s="453">
        <f>[1]InputSummary!AU78</f>
        <v>1.3246449376872853</v>
      </c>
      <c r="H40" s="453">
        <f>[1]InputSummary!AV78</f>
        <v>3.0928510742051012</v>
      </c>
      <c r="I40" s="453">
        <f t="shared" si="14"/>
        <v>3.0928510742051012</v>
      </c>
      <c r="J40" s="410" t="s">
        <v>222</v>
      </c>
    </row>
    <row r="41" spans="1:10" x14ac:dyDescent="0.3">
      <c r="A41" s="368" t="s">
        <v>105</v>
      </c>
      <c r="B41" s="25" t="s">
        <v>1</v>
      </c>
      <c r="C41" s="49"/>
      <c r="D41" s="173">
        <f>SUM(D34:D40)</f>
        <v>6.2316957571607334</v>
      </c>
      <c r="E41" s="129">
        <f>SUM(E34:E40)</f>
        <v>11.067246677972326</v>
      </c>
      <c r="F41" s="129">
        <f t="shared" ref="F41" si="15">SUM(F34:F40)</f>
        <v>13.774654068467456</v>
      </c>
      <c r="G41" s="129">
        <f t="shared" ref="G41" si="16">SUM(G34:G40)</f>
        <v>14.111332305388581</v>
      </c>
      <c r="H41" s="129">
        <f t="shared" ref="H41" si="17">SUM(H34:H40)</f>
        <v>31.90095094963656</v>
      </c>
      <c r="I41" s="130">
        <f t="shared" ref="I41" si="18">SUM(I34:I40)</f>
        <v>31.90095094963656</v>
      </c>
      <c r="J41" s="31" t="s">
        <v>270</v>
      </c>
    </row>
    <row r="42" spans="1:10" x14ac:dyDescent="0.3">
      <c r="A42" s="368" t="s">
        <v>301</v>
      </c>
      <c r="B42" s="25" t="s">
        <v>254</v>
      </c>
      <c r="C42" s="49" t="s">
        <v>302</v>
      </c>
      <c r="D42" s="267">
        <f>D22</f>
        <v>0.5</v>
      </c>
      <c r="E42" s="268">
        <f>E22</f>
        <v>0.5</v>
      </c>
      <c r="F42" s="268">
        <f t="shared" ref="F42:I42" si="19">F22</f>
        <v>0.5</v>
      </c>
      <c r="G42" s="268">
        <f t="shared" si="19"/>
        <v>0.5</v>
      </c>
      <c r="H42" s="268">
        <f t="shared" si="19"/>
        <v>0.5</v>
      </c>
      <c r="I42" s="269">
        <f t="shared" si="19"/>
        <v>0.5</v>
      </c>
      <c r="J42" s="31" t="s">
        <v>302</v>
      </c>
    </row>
    <row r="43" spans="1:10" ht="29.4" thickBot="1" x14ac:dyDescent="0.35">
      <c r="A43" s="359" t="s">
        <v>108</v>
      </c>
      <c r="B43" s="26" t="s">
        <v>1</v>
      </c>
      <c r="C43" s="50"/>
      <c r="D43" s="173">
        <f>IF(D41&gt;0,(D41-D33)*D42+D33,D33)</f>
        <v>5.8271422048089363</v>
      </c>
      <c r="E43" s="129">
        <f>IF(E41&gt;0,(E41-E33)*E42+E33,E33)</f>
        <v>10.465136240551004</v>
      </c>
      <c r="F43" s="129">
        <f t="shared" ref="F43:I43" si="20">IF(F41&gt;0,(F41-F33)*F42+F33,F33)</f>
        <v>13.450960343212454</v>
      </c>
      <c r="G43" s="129">
        <f t="shared" si="20"/>
        <v>14.18819053101587</v>
      </c>
      <c r="H43" s="129">
        <f t="shared" si="20"/>
        <v>32.036680362904796</v>
      </c>
      <c r="I43" s="130">
        <f t="shared" si="20"/>
        <v>32.036680362904796</v>
      </c>
      <c r="J43" s="32" t="s">
        <v>304</v>
      </c>
    </row>
    <row r="44" spans="1:10" x14ac:dyDescent="0.3">
      <c r="A44" s="358" t="s">
        <v>256</v>
      </c>
      <c r="B44" s="45" t="s">
        <v>254</v>
      </c>
      <c r="C44" s="51"/>
      <c r="D44" s="455">
        <f>[1]TIM!AR$60</f>
        <v>0.85</v>
      </c>
      <c r="E44" s="455">
        <f>[1]TIM!AS$60</f>
        <v>0.85</v>
      </c>
      <c r="F44" s="455">
        <f>[1]TIM!AT$60</f>
        <v>0.85</v>
      </c>
      <c r="G44" s="455">
        <f>[1]TIM!AU$60</f>
        <v>0.85</v>
      </c>
      <c r="H44" s="455">
        <f>[1]TIM!AV$60</f>
        <v>0.85</v>
      </c>
      <c r="I44" s="455">
        <f>H44</f>
        <v>0.85</v>
      </c>
      <c r="J44" s="48" t="s">
        <v>258</v>
      </c>
    </row>
    <row r="45" spans="1:10" ht="15" thickBot="1" x14ac:dyDescent="0.35">
      <c r="A45" s="356" t="s">
        <v>109</v>
      </c>
      <c r="B45" s="27" t="s">
        <v>1</v>
      </c>
      <c r="C45" s="52"/>
      <c r="D45" s="173">
        <f>(1-D44)*D43</f>
        <v>0.87407133072134058</v>
      </c>
      <c r="E45" s="129">
        <f>(1-E44)*E43</f>
        <v>1.5697704360826508</v>
      </c>
      <c r="F45" s="129">
        <f t="shared" ref="F45:G45" si="21">(1-F44)*F43</f>
        <v>2.0176440514818683</v>
      </c>
      <c r="G45" s="129">
        <f t="shared" si="21"/>
        <v>2.1282285796523808</v>
      </c>
      <c r="H45" s="129">
        <f t="shared" ref="H45" si="22">(1-H44)*H43</f>
        <v>4.8055020544357205</v>
      </c>
      <c r="I45" s="130">
        <f t="shared" ref="I45" si="23">(1-I44)*I43</f>
        <v>4.8055020544357205</v>
      </c>
      <c r="J45" s="33" t="s">
        <v>260</v>
      </c>
    </row>
    <row r="46" spans="1:10" ht="15" thickBot="1" x14ac:dyDescent="0.35">
      <c r="A46" s="355" t="s">
        <v>0</v>
      </c>
      <c r="B46" s="28" t="s">
        <v>1</v>
      </c>
      <c r="C46" s="181" t="s">
        <v>283</v>
      </c>
      <c r="D46" s="411">
        <f>D25+D45</f>
        <v>37.878477960655637</v>
      </c>
      <c r="E46" s="281">
        <f>E25+E45</f>
        <v>39.473368720929287</v>
      </c>
      <c r="F46" s="281">
        <f t="shared" ref="F46:I46" si="24">F25+F45</f>
        <v>41.778590966634511</v>
      </c>
      <c r="G46" s="281">
        <f t="shared" si="24"/>
        <v>39.041592698973751</v>
      </c>
      <c r="H46" s="281">
        <f t="shared" si="24"/>
        <v>40.784186623950688</v>
      </c>
      <c r="I46" s="282">
        <f t="shared" si="24"/>
        <v>40.784186623950688</v>
      </c>
      <c r="J46" s="209" t="s">
        <v>223</v>
      </c>
    </row>
    <row r="47" spans="1:10" outlineLevel="1" x14ac:dyDescent="0.3">
      <c r="A47" s="351" t="s">
        <v>4</v>
      </c>
      <c r="B47" s="412" t="s">
        <v>1</v>
      </c>
      <c r="C47" s="413"/>
      <c r="D47" s="451">
        <f>[1]Depn!AR29</f>
        <v>56.378588536039111</v>
      </c>
      <c r="E47" s="451">
        <f>[1]Depn!AS29</f>
        <v>52.598230496124948</v>
      </c>
      <c r="F47" s="451">
        <f>[1]Depn!AT29</f>
        <v>48.924009231403403</v>
      </c>
      <c r="G47" s="451">
        <f>[1]Depn!AU29</f>
        <v>45.275646283427264</v>
      </c>
      <c r="H47" s="451">
        <f>[1]Depn!AV29</f>
        <v>41.156481480892062</v>
      </c>
      <c r="I47" s="451">
        <f>H47</f>
        <v>41.156481480892062</v>
      </c>
      <c r="J47" s="414" t="s">
        <v>224</v>
      </c>
    </row>
    <row r="48" spans="1:10" outlineLevel="1" x14ac:dyDescent="0.3">
      <c r="A48" s="352" t="s">
        <v>5</v>
      </c>
      <c r="B48" s="340" t="s">
        <v>1</v>
      </c>
      <c r="C48" s="341"/>
      <c r="D48" s="451">
        <f>[1]Depn!AR30</f>
        <v>32.208971542123763</v>
      </c>
      <c r="E48" s="451">
        <f>[1]Depn!AS30</f>
        <v>32.208971542123763</v>
      </c>
      <c r="F48" s="451">
        <f>[1]Depn!AT30</f>
        <v>32.208971542123763</v>
      </c>
      <c r="G48" s="451">
        <f>[1]Depn!AU30</f>
        <v>32.208971542123763</v>
      </c>
      <c r="H48" s="451">
        <f>[1]Depn!AV30</f>
        <v>32.208971542123763</v>
      </c>
      <c r="I48" s="451">
        <f t="shared" ref="I48:I49" si="25">H48</f>
        <v>32.208971542123763</v>
      </c>
      <c r="J48" s="415" t="s">
        <v>225</v>
      </c>
    </row>
    <row r="49" spans="1:10" outlineLevel="1" x14ac:dyDescent="0.3">
      <c r="A49" s="353" t="s">
        <v>6</v>
      </c>
      <c r="B49" s="342" t="s">
        <v>1</v>
      </c>
      <c r="C49" s="343"/>
      <c r="D49" s="451">
        <f>[1]Depn!AR31</f>
        <v>0</v>
      </c>
      <c r="E49" s="451">
        <f>[1]Depn!AS31</f>
        <v>3.0255669458230323</v>
      </c>
      <c r="F49" s="451">
        <f>[1]Depn!AT31</f>
        <v>6.2095858487688318</v>
      </c>
      <c r="G49" s="451">
        <f>[1]Depn!AU31</f>
        <v>9.5963402101829534</v>
      </c>
      <c r="H49" s="451">
        <f>[1]Depn!AV31</f>
        <v>12.772665022543624</v>
      </c>
      <c r="I49" s="451">
        <f t="shared" si="25"/>
        <v>12.772665022543624</v>
      </c>
      <c r="J49" s="416" t="s">
        <v>226</v>
      </c>
    </row>
    <row r="50" spans="1:10" ht="15" thickBot="1" x14ac:dyDescent="0.35">
      <c r="A50" s="354" t="s">
        <v>3</v>
      </c>
      <c r="B50" s="28" t="s">
        <v>1</v>
      </c>
      <c r="C50" s="181" t="s">
        <v>284</v>
      </c>
      <c r="D50" s="411">
        <f>D47+D48+D49</f>
        <v>88.58756007816288</v>
      </c>
      <c r="E50" s="281">
        <f>E47+E48+E49</f>
        <v>87.832768984071734</v>
      </c>
      <c r="F50" s="281">
        <f t="shared" ref="F50:I50" si="26">F47+F48+F49</f>
        <v>87.342566622296005</v>
      </c>
      <c r="G50" s="281">
        <f t="shared" si="26"/>
        <v>87.080958035733985</v>
      </c>
      <c r="H50" s="281">
        <f t="shared" si="26"/>
        <v>86.138118045559438</v>
      </c>
      <c r="I50" s="282">
        <f t="shared" si="26"/>
        <v>86.138118045559438</v>
      </c>
      <c r="J50" s="209" t="s">
        <v>227</v>
      </c>
    </row>
    <row r="51" spans="1:10" outlineLevel="1" x14ac:dyDescent="0.3">
      <c r="A51" s="351" t="s">
        <v>7</v>
      </c>
      <c r="B51" s="412" t="s">
        <v>8</v>
      </c>
      <c r="C51" s="413"/>
      <c r="D51" s="457">
        <f>'[1]Return&amp;RAV'!AR12</f>
        <v>3.97335776E-2</v>
      </c>
      <c r="E51" s="457">
        <f>'[1]Return&amp;RAV'!AS12</f>
        <v>4.1370183200000001E-2</v>
      </c>
      <c r="F51" s="457">
        <f>'[1]Return&amp;RAV'!AT12</f>
        <v>4.09301584E-2</v>
      </c>
      <c r="G51" s="457">
        <f>'[1]Return&amp;RAV'!AU12</f>
        <v>4.1113614800000003E-2</v>
      </c>
      <c r="H51" s="457">
        <f>'[1]Return&amp;RAV'!AV12</f>
        <v>4.1190859599999997E-2</v>
      </c>
      <c r="I51" s="457">
        <f>H51</f>
        <v>4.1190859599999997E-2</v>
      </c>
      <c r="J51" s="417" t="s">
        <v>228</v>
      </c>
    </row>
    <row r="52" spans="1:10" outlineLevel="1" x14ac:dyDescent="0.3">
      <c r="A52" s="352" t="s">
        <v>9</v>
      </c>
      <c r="B52" s="340" t="s">
        <v>10</v>
      </c>
      <c r="C52" s="341"/>
      <c r="D52" s="418">
        <f t="shared" ref="D52:I52" si="27">1 / (1 + D51)</f>
        <v>0.96178484714159518</v>
      </c>
      <c r="E52" s="346">
        <f t="shared" si="27"/>
        <v>0.96027331695548013</v>
      </c>
      <c r="F52" s="346">
        <f t="shared" si="27"/>
        <v>0.9606792462782392</v>
      </c>
      <c r="G52" s="346">
        <f t="shared" si="27"/>
        <v>0.96050996335505801</v>
      </c>
      <c r="H52" s="346">
        <f t="shared" si="27"/>
        <v>0.9604387041816479</v>
      </c>
      <c r="I52" s="347">
        <f t="shared" si="27"/>
        <v>0.9604387041816479</v>
      </c>
      <c r="J52" s="415" t="s">
        <v>229</v>
      </c>
    </row>
    <row r="53" spans="1:10" outlineLevel="1" x14ac:dyDescent="0.3">
      <c r="A53" s="352" t="s">
        <v>11</v>
      </c>
      <c r="B53" s="340" t="s">
        <v>1</v>
      </c>
      <c r="C53" s="341"/>
      <c r="D53" s="450">
        <f>'[1]Return&amp;RAV'!AR$15</f>
        <v>1331.7475904607427</v>
      </c>
      <c r="E53" s="450">
        <f>'[1]Return&amp;RAV'!AS$15</f>
        <v>1387.195672109232</v>
      </c>
      <c r="F53" s="450">
        <f>'[1]Return&amp;RAV'!AT$15</f>
        <v>1452.2570517505712</v>
      </c>
      <c r="G53" s="450">
        <f>'[1]Return&amp;RAV'!AU$15</f>
        <v>1508.1107102710673</v>
      </c>
      <c r="H53" s="450">
        <f>'[1]Return&amp;RAV'!AV$15</f>
        <v>1576.7645612804392</v>
      </c>
      <c r="I53" s="450">
        <f>H53</f>
        <v>1576.7645612804392</v>
      </c>
      <c r="J53" s="415" t="s">
        <v>230</v>
      </c>
    </row>
    <row r="54" spans="1:10" outlineLevel="1" x14ac:dyDescent="0.3">
      <c r="A54" s="352" t="s">
        <v>13</v>
      </c>
      <c r="B54" s="340" t="s">
        <v>1</v>
      </c>
      <c r="C54" s="341"/>
      <c r="D54" s="450">
        <f>'[1]Return&amp;RAV'!AR$43</f>
        <v>1284.184637976869</v>
      </c>
      <c r="E54" s="450">
        <f>'[1]Return&amp;RAV'!AS$43</f>
        <v>1331.7475904607427</v>
      </c>
      <c r="F54" s="450">
        <f>'[1]Return&amp;RAV'!AT$43</f>
        <v>1387.195672109232</v>
      </c>
      <c r="G54" s="450">
        <f>'[1]Return&amp;RAV'!AU$43</f>
        <v>1452.2570517505712</v>
      </c>
      <c r="H54" s="450">
        <f>'[1]Return&amp;RAV'!AV$43</f>
        <v>1508.1107102710673</v>
      </c>
      <c r="I54" s="450">
        <f>H54</f>
        <v>1508.1107102710673</v>
      </c>
      <c r="J54" s="415" t="s">
        <v>231</v>
      </c>
    </row>
    <row r="55" spans="1:10" outlineLevel="1" x14ac:dyDescent="0.3">
      <c r="A55" s="352" t="s">
        <v>12</v>
      </c>
      <c r="B55" s="340" t="s">
        <v>1</v>
      </c>
      <c r="C55" s="341"/>
      <c r="D55" s="419">
        <f>D52 * D53</f>
        <v>1280.854652722473</v>
      </c>
      <c r="E55" s="299">
        <f>E52 * E53</f>
        <v>1332.0869893226188</v>
      </c>
      <c r="F55" s="299">
        <f t="shared" ref="F55:I55" si="28">F52 * F53</f>
        <v>1395.1532098779967</v>
      </c>
      <c r="G55" s="299">
        <f t="shared" si="28"/>
        <v>1448.5553630578333</v>
      </c>
      <c r="H55" s="299">
        <f t="shared" si="28"/>
        <v>1514.3857120357295</v>
      </c>
      <c r="I55" s="300">
        <f t="shared" si="28"/>
        <v>1514.3857120357295</v>
      </c>
      <c r="J55" s="415" t="s">
        <v>232</v>
      </c>
    </row>
    <row r="56" spans="1:10" outlineLevel="1" x14ac:dyDescent="0.3">
      <c r="A56" s="353" t="s">
        <v>14</v>
      </c>
      <c r="B56" s="342" t="s">
        <v>1</v>
      </c>
      <c r="C56" s="343"/>
      <c r="D56" s="420">
        <f t="shared" ref="D56:I56" si="29">AVERAGE(D54:D55)</f>
        <v>1282.519645349671</v>
      </c>
      <c r="E56" s="303">
        <f t="shared" si="29"/>
        <v>1331.9172898916809</v>
      </c>
      <c r="F56" s="303">
        <f t="shared" si="29"/>
        <v>1391.1744409936143</v>
      </c>
      <c r="G56" s="303">
        <f t="shared" si="29"/>
        <v>1450.4062074042022</v>
      </c>
      <c r="H56" s="303">
        <f t="shared" si="29"/>
        <v>1511.2482111533984</v>
      </c>
      <c r="I56" s="304">
        <f t="shared" si="29"/>
        <v>1511.2482111533984</v>
      </c>
      <c r="J56" s="416" t="s">
        <v>233</v>
      </c>
    </row>
    <row r="57" spans="1:10" ht="15" thickBot="1" x14ac:dyDescent="0.35">
      <c r="A57" s="354" t="s">
        <v>15</v>
      </c>
      <c r="B57" s="28" t="s">
        <v>1</v>
      </c>
      <c r="C57" s="181" t="s">
        <v>285</v>
      </c>
      <c r="D57" s="411">
        <f>D56*D51</f>
        <v>50.959093852025632</v>
      </c>
      <c r="E57" s="281">
        <f>E56*E51</f>
        <v>55.101662290066344</v>
      </c>
      <c r="F57" s="281">
        <f t="shared" ref="F57:I57" si="30">F56*F51</f>
        <v>56.940990231900088</v>
      </c>
      <c r="G57" s="281">
        <f t="shared" si="30"/>
        <v>59.631442114745283</v>
      </c>
      <c r="H57" s="281">
        <f t="shared" si="30"/>
        <v>62.249612886370784</v>
      </c>
      <c r="I57" s="282">
        <f t="shared" si="30"/>
        <v>62.249612886370784</v>
      </c>
      <c r="J57" s="209" t="s">
        <v>271</v>
      </c>
    </row>
    <row r="58" spans="1:10" outlineLevel="1" x14ac:dyDescent="0.3">
      <c r="A58" s="351" t="s">
        <v>19</v>
      </c>
      <c r="B58" s="412" t="s">
        <v>1</v>
      </c>
      <c r="C58" s="413" t="s">
        <v>20</v>
      </c>
      <c r="D58" s="451">
        <f>[1]InputSummary!AR83</f>
        <v>1.0815051396347761</v>
      </c>
      <c r="E58" s="451">
        <f>[1]InputSummary!AS83</f>
        <v>1.0920000000000001</v>
      </c>
      <c r="F58" s="451">
        <f>[1]InputSummary!AT83</f>
        <v>1.0920000000000001</v>
      </c>
      <c r="G58" s="451">
        <f>[1]InputSummary!AU83</f>
        <v>1.0920000000000001</v>
      </c>
      <c r="H58" s="451">
        <f>[1]InputSummary!AV83</f>
        <v>1.0920000000000001</v>
      </c>
      <c r="I58" s="451">
        <f>H58</f>
        <v>1.0920000000000001</v>
      </c>
      <c r="J58" s="414" t="s">
        <v>234</v>
      </c>
    </row>
    <row r="59" spans="1:10" outlineLevel="1" x14ac:dyDescent="0.3">
      <c r="A59" s="352" t="s">
        <v>21</v>
      </c>
      <c r="B59" s="340" t="s">
        <v>1</v>
      </c>
      <c r="C59" s="341" t="s">
        <v>22</v>
      </c>
      <c r="D59" s="451">
        <f>[1]InputSummary!AR84</f>
        <v>11.946297963704367</v>
      </c>
      <c r="E59" s="451">
        <f>[1]InputSummary!AS84</f>
        <v>14.056699999999999</v>
      </c>
      <c r="F59" s="451">
        <f>[1]InputSummary!AT84</f>
        <v>14.0793</v>
      </c>
      <c r="G59" s="451">
        <f>[1]InputSummary!AU84</f>
        <v>14.0383</v>
      </c>
      <c r="H59" s="451">
        <f>[1]InputSummary!AV84</f>
        <v>14.024699999999999</v>
      </c>
      <c r="I59" s="451">
        <f t="shared" ref="I59:I69" si="31">H59</f>
        <v>14.024699999999999</v>
      </c>
      <c r="J59" s="415" t="s">
        <v>235</v>
      </c>
    </row>
    <row r="60" spans="1:10" outlineLevel="1" x14ac:dyDescent="0.3">
      <c r="A60" s="352" t="s">
        <v>23</v>
      </c>
      <c r="B60" s="340" t="s">
        <v>1</v>
      </c>
      <c r="C60" s="341" t="s">
        <v>24</v>
      </c>
      <c r="D60" s="451">
        <f>[1]InputSummary!AR85</f>
        <v>6.6503586080964148</v>
      </c>
      <c r="E60" s="451">
        <f>[1]InputSummary!AS85</f>
        <v>7.6444000000000001</v>
      </c>
      <c r="F60" s="451">
        <f>[1]InputSummary!AT85</f>
        <v>7.6444000000000001</v>
      </c>
      <c r="G60" s="451">
        <f>[1]InputSummary!AU85</f>
        <v>7.6444000000000001</v>
      </c>
      <c r="H60" s="451">
        <f>[1]InputSummary!AV85</f>
        <v>7.6444000000000001</v>
      </c>
      <c r="I60" s="451">
        <f t="shared" si="31"/>
        <v>7.6444000000000001</v>
      </c>
      <c r="J60" s="415" t="s">
        <v>236</v>
      </c>
    </row>
    <row r="61" spans="1:10" outlineLevel="1" x14ac:dyDescent="0.3">
      <c r="A61" s="352" t="s">
        <v>25</v>
      </c>
      <c r="B61" s="340" t="s">
        <v>1</v>
      </c>
      <c r="C61" s="341" t="s">
        <v>26</v>
      </c>
      <c r="D61" s="451">
        <f>[1]InputSummary!AR86</f>
        <v>1.0487085938841185</v>
      </c>
      <c r="E61" s="451">
        <f>[1]InputSummary!AS86</f>
        <v>1.1356999999999999</v>
      </c>
      <c r="F61" s="451">
        <f>[1]InputSummary!AT86</f>
        <v>1.1396999999999999</v>
      </c>
      <c r="G61" s="451">
        <f>[1]InputSummary!AU86</f>
        <v>1.1328</v>
      </c>
      <c r="H61" s="451">
        <f>[1]InputSummary!AV86</f>
        <v>1.1369</v>
      </c>
      <c r="I61" s="451">
        <f t="shared" si="31"/>
        <v>1.1369</v>
      </c>
      <c r="J61" s="415" t="s">
        <v>237</v>
      </c>
    </row>
    <row r="62" spans="1:10" outlineLevel="1" x14ac:dyDescent="0.3">
      <c r="A62" s="352" t="s">
        <v>27</v>
      </c>
      <c r="B62" s="340" t="s">
        <v>1</v>
      </c>
      <c r="C62" s="341" t="s">
        <v>28</v>
      </c>
      <c r="D62" s="451">
        <f>[1]InputSummary!AR87</f>
        <v>0.11111782048377519</v>
      </c>
      <c r="E62" s="451">
        <f>[1]InputSummary!AS87</f>
        <v>0.2591</v>
      </c>
      <c r="F62" s="451">
        <f>[1]InputSummary!AT87</f>
        <v>0.3513</v>
      </c>
      <c r="G62" s="451">
        <f>[1]InputSummary!AU87</f>
        <v>0.24859999999999999</v>
      </c>
      <c r="H62" s="451">
        <f>[1]InputSummary!AV87</f>
        <v>0.25090000000000001</v>
      </c>
      <c r="I62" s="451">
        <f t="shared" si="31"/>
        <v>0.25090000000000001</v>
      </c>
      <c r="J62" s="415" t="s">
        <v>238</v>
      </c>
    </row>
    <row r="63" spans="1:10" outlineLevel="1" x14ac:dyDescent="0.3">
      <c r="A63" s="352" t="s">
        <v>29</v>
      </c>
      <c r="B63" s="340" t="s">
        <v>1</v>
      </c>
      <c r="C63" s="341" t="s">
        <v>30</v>
      </c>
      <c r="D63" s="451">
        <f>[1]InputSummary!AR88</f>
        <v>1.1088355944269906E-2</v>
      </c>
      <c r="E63" s="451">
        <f>[1]InputSummary!AS88</f>
        <v>2.1700000000000001E-2</v>
      </c>
      <c r="F63" s="451">
        <f>[1]InputSummary!AT88</f>
        <v>2.1700000000000001E-2</v>
      </c>
      <c r="G63" s="451">
        <f>[1]InputSummary!AU88</f>
        <v>2.1700000000000001E-2</v>
      </c>
      <c r="H63" s="451">
        <f>[1]InputSummary!AV88</f>
        <v>2.1700000000000001E-2</v>
      </c>
      <c r="I63" s="451">
        <f t="shared" si="31"/>
        <v>2.1700000000000001E-2</v>
      </c>
      <c r="J63" s="415" t="s">
        <v>239</v>
      </c>
    </row>
    <row r="64" spans="1:10" outlineLevel="1" x14ac:dyDescent="0.3">
      <c r="A64" s="352" t="s">
        <v>31</v>
      </c>
      <c r="B64" s="340" t="s">
        <v>1</v>
      </c>
      <c r="C64" s="341" t="s">
        <v>32</v>
      </c>
      <c r="D64" s="451">
        <f>[1]InputSummary!AR89</f>
        <v>8.0677159936206611</v>
      </c>
      <c r="E64" s="451">
        <f>[1]InputSummary!AS89</f>
        <v>0.25414156446420705</v>
      </c>
      <c r="F64" s="451">
        <f>[1]InputSummary!AT89</f>
        <v>-0.29839436380423456</v>
      </c>
      <c r="G64" s="451">
        <f>[1]InputSummary!AU89</f>
        <v>0</v>
      </c>
      <c r="H64" s="451">
        <f>[1]InputSummary!AV89</f>
        <v>0</v>
      </c>
      <c r="I64" s="451">
        <f t="shared" si="31"/>
        <v>0</v>
      </c>
      <c r="J64" s="415" t="s">
        <v>240</v>
      </c>
    </row>
    <row r="65" spans="1:10" outlineLevel="1" x14ac:dyDescent="0.3">
      <c r="A65" s="352" t="s">
        <v>33</v>
      </c>
      <c r="B65" s="340" t="s">
        <v>1</v>
      </c>
      <c r="C65" s="341" t="s">
        <v>34</v>
      </c>
      <c r="D65" s="451">
        <f>[1]InputSummary!AR90</f>
        <v>5.7784390132110787E-3</v>
      </c>
      <c r="E65" s="451">
        <f>[1]InputSummary!AS90</f>
        <v>1.7500000000000002E-2</v>
      </c>
      <c r="F65" s="451">
        <f>[1]InputSummary!AT90</f>
        <v>0</v>
      </c>
      <c r="G65" s="451">
        <f>[1]InputSummary!AU90</f>
        <v>0</v>
      </c>
      <c r="H65" s="451">
        <f>[1]InputSummary!AV90</f>
        <v>0</v>
      </c>
      <c r="I65" s="451">
        <f t="shared" si="31"/>
        <v>0</v>
      </c>
      <c r="J65" s="415" t="s">
        <v>241</v>
      </c>
    </row>
    <row r="66" spans="1:10" outlineLevel="1" x14ac:dyDescent="0.3">
      <c r="A66" s="352" t="s">
        <v>35</v>
      </c>
      <c r="B66" s="340" t="s">
        <v>1</v>
      </c>
      <c r="C66" s="341" t="s">
        <v>36</v>
      </c>
      <c r="D66" s="451">
        <f>[1]InputSummary!AR91</f>
        <v>0</v>
      </c>
      <c r="E66" s="451">
        <f>[1]InputSummary!AS91</f>
        <v>-0.5</v>
      </c>
      <c r="F66" s="451">
        <f>[1]InputSummary!AT91</f>
        <v>-0.5</v>
      </c>
      <c r="G66" s="451">
        <f>[1]InputSummary!AU91</f>
        <v>-0.5</v>
      </c>
      <c r="H66" s="451">
        <f>[1]InputSummary!AV91</f>
        <v>-0.5</v>
      </c>
      <c r="I66" s="451">
        <f t="shared" si="31"/>
        <v>-0.5</v>
      </c>
      <c r="J66" s="415" t="s">
        <v>242</v>
      </c>
    </row>
    <row r="67" spans="1:10" outlineLevel="1" x14ac:dyDescent="0.3">
      <c r="A67" s="352" t="s">
        <v>37</v>
      </c>
      <c r="B67" s="340" t="s">
        <v>1</v>
      </c>
      <c r="C67" s="341" t="s">
        <v>38</v>
      </c>
      <c r="D67" s="451">
        <f>[1]InputSummary!AR92</f>
        <v>0</v>
      </c>
      <c r="E67" s="451">
        <f>[1]InputSummary!AS92</f>
        <v>0</v>
      </c>
      <c r="F67" s="451">
        <f>[1]InputSummary!AT92</f>
        <v>0</v>
      </c>
      <c r="G67" s="451">
        <f>[1]InputSummary!AU92</f>
        <v>0</v>
      </c>
      <c r="H67" s="451">
        <f>[1]InputSummary!AV92</f>
        <v>0</v>
      </c>
      <c r="I67" s="451">
        <f t="shared" si="31"/>
        <v>0</v>
      </c>
      <c r="J67" s="415" t="s">
        <v>243</v>
      </c>
    </row>
    <row r="68" spans="1:10" outlineLevel="1" x14ac:dyDescent="0.3">
      <c r="A68" s="352" t="s">
        <v>39</v>
      </c>
      <c r="B68" s="340" t="s">
        <v>1</v>
      </c>
      <c r="C68" s="341" t="s">
        <v>40</v>
      </c>
      <c r="D68" s="451">
        <f>[1]InputSummary!AR93</f>
        <v>0</v>
      </c>
      <c r="E68" s="451">
        <f>[1]InputSummary!AS93</f>
        <v>0</v>
      </c>
      <c r="F68" s="451">
        <f>[1]InputSummary!AT93</f>
        <v>0</v>
      </c>
      <c r="G68" s="451">
        <f>[1]InputSummary!AU93</f>
        <v>0</v>
      </c>
      <c r="H68" s="451">
        <f>[1]InputSummary!AV93</f>
        <v>0</v>
      </c>
      <c r="I68" s="451">
        <f t="shared" si="31"/>
        <v>0</v>
      </c>
      <c r="J68" s="415" t="s">
        <v>244</v>
      </c>
    </row>
    <row r="69" spans="1:10" outlineLevel="1" x14ac:dyDescent="0.3">
      <c r="A69" s="353" t="s">
        <v>41</v>
      </c>
      <c r="B69" s="342" t="s">
        <v>1</v>
      </c>
      <c r="C69" s="343" t="s">
        <v>42</v>
      </c>
      <c r="D69" s="451">
        <f>[1]InputSummary!AR94</f>
        <v>0</v>
      </c>
      <c r="E69" s="451">
        <f>[1]InputSummary!AS94</f>
        <v>0</v>
      </c>
      <c r="F69" s="451">
        <f>[1]InputSummary!AT94</f>
        <v>0</v>
      </c>
      <c r="G69" s="451">
        <f>[1]InputSummary!AU94</f>
        <v>0</v>
      </c>
      <c r="H69" s="451">
        <f>[1]InputSummary!AV94</f>
        <v>0</v>
      </c>
      <c r="I69" s="451">
        <f t="shared" si="31"/>
        <v>0</v>
      </c>
      <c r="J69" s="416" t="s">
        <v>245</v>
      </c>
    </row>
    <row r="70" spans="1:10" x14ac:dyDescent="0.3">
      <c r="A70" s="354" t="s">
        <v>43</v>
      </c>
      <c r="B70" s="9" t="s">
        <v>1</v>
      </c>
      <c r="C70" s="53" t="s">
        <v>274</v>
      </c>
      <c r="D70" s="174">
        <f>SUM(D58:D66,D68)-D67-D69</f>
        <v>28.922570914381595</v>
      </c>
      <c r="E70" s="131">
        <f>SUM(E58:E66,E68)-E67-E69</f>
        <v>23.981241564464202</v>
      </c>
      <c r="F70" s="131">
        <f t="shared" ref="F70:I70" si="32">SUM(F58:F66,F68)-F67-F69</f>
        <v>23.530005636195764</v>
      </c>
      <c r="G70" s="131">
        <f t="shared" si="32"/>
        <v>23.677799999999998</v>
      </c>
      <c r="H70" s="131">
        <f t="shared" si="32"/>
        <v>23.6706</v>
      </c>
      <c r="I70" s="132">
        <f t="shared" si="32"/>
        <v>23.6706</v>
      </c>
      <c r="J70" s="34" t="s">
        <v>310</v>
      </c>
    </row>
    <row r="71" spans="1:10" x14ac:dyDescent="0.3">
      <c r="A71" s="5" t="s">
        <v>44</v>
      </c>
      <c r="B71" s="11" t="s">
        <v>1</v>
      </c>
      <c r="C71" s="55"/>
      <c r="D71" s="174">
        <f>D46+D50+D57+D70</f>
        <v>206.34770280522574</v>
      </c>
      <c r="E71" s="131">
        <f>E46+E50+E57+E70</f>
        <v>206.38904155953156</v>
      </c>
      <c r="F71" s="131">
        <f t="shared" ref="F71:I71" si="33">F46+F50+F57+F70</f>
        <v>209.59215345702637</v>
      </c>
      <c r="G71" s="131">
        <f t="shared" si="33"/>
        <v>209.43179284945302</v>
      </c>
      <c r="H71" s="131">
        <f t="shared" si="33"/>
        <v>212.8425175558809</v>
      </c>
      <c r="I71" s="132">
        <f t="shared" si="33"/>
        <v>212.8425175558809</v>
      </c>
      <c r="J71" s="36" t="s">
        <v>182</v>
      </c>
    </row>
    <row r="72" spans="1:10" x14ac:dyDescent="0.3">
      <c r="A72" s="354" t="s">
        <v>45</v>
      </c>
      <c r="B72" s="9" t="s">
        <v>1</v>
      </c>
      <c r="C72" s="53" t="s">
        <v>275</v>
      </c>
      <c r="D72" s="458"/>
      <c r="E72" s="459"/>
      <c r="F72" s="459"/>
      <c r="G72" s="459"/>
      <c r="H72" s="459"/>
      <c r="I72" s="460"/>
      <c r="J72" s="34" t="s">
        <v>46</v>
      </c>
    </row>
    <row r="73" spans="1:10" x14ac:dyDescent="0.3">
      <c r="A73" s="354" t="s">
        <v>47</v>
      </c>
      <c r="B73" s="9" t="s">
        <v>1</v>
      </c>
      <c r="C73" s="53" t="s">
        <v>276</v>
      </c>
      <c r="D73" s="451">
        <f>[1]Revenue!AR14</f>
        <v>2.9931463400196021</v>
      </c>
      <c r="E73" s="451">
        <f>[1]Revenue!AS14</f>
        <v>0</v>
      </c>
      <c r="F73" s="451">
        <f>[1]Revenue!AT14</f>
        <v>0</v>
      </c>
      <c r="G73" s="451">
        <f>[1]Revenue!AU14</f>
        <v>0</v>
      </c>
      <c r="H73" s="451">
        <f>[1]Revenue!AV14</f>
        <v>0</v>
      </c>
      <c r="I73" s="451">
        <f>H73</f>
        <v>0</v>
      </c>
      <c r="J73" s="34" t="s">
        <v>48</v>
      </c>
    </row>
    <row r="74" spans="1:10" ht="15" thickBot="1" x14ac:dyDescent="0.35">
      <c r="A74" s="354" t="s">
        <v>49</v>
      </c>
      <c r="B74" s="28" t="s">
        <v>1</v>
      </c>
      <c r="C74" s="181" t="s">
        <v>277</v>
      </c>
      <c r="D74" s="451">
        <f>[1]Revenue!AR15</f>
        <v>0.69</v>
      </c>
      <c r="E74" s="451">
        <f>[1]Revenue!AS15</f>
        <v>0</v>
      </c>
      <c r="F74" s="451">
        <f>[1]Revenue!AT15</f>
        <v>0</v>
      </c>
      <c r="G74" s="451">
        <f>[1]Revenue!AU15</f>
        <v>0</v>
      </c>
      <c r="H74" s="451">
        <f>[1]Revenue!AV15</f>
        <v>0</v>
      </c>
      <c r="I74" s="451">
        <f t="shared" ref="I74:I82" si="34">H74</f>
        <v>0</v>
      </c>
      <c r="J74" s="209" t="s">
        <v>50</v>
      </c>
    </row>
    <row r="75" spans="1:10" outlineLevel="1" x14ac:dyDescent="0.3">
      <c r="A75" s="348" t="s">
        <v>125</v>
      </c>
      <c r="B75" s="412" t="s">
        <v>1</v>
      </c>
      <c r="C75" s="413" t="s">
        <v>126</v>
      </c>
      <c r="D75" s="451">
        <f>[1]InputSummary!AR101</f>
        <v>0.34155279999999988</v>
      </c>
      <c r="E75" s="451">
        <f>[1]InputSummary!AS101</f>
        <v>0.35842528184898559</v>
      </c>
      <c r="F75" s="451">
        <f>[1]InputSummary!AT101</f>
        <v>0.37335966859269332</v>
      </c>
      <c r="G75" s="451">
        <f>[1]InputSummary!AU101</f>
        <v>0.3882940553364011</v>
      </c>
      <c r="H75" s="451">
        <f>[1]InputSummary!AV101</f>
        <v>0.40322844208010883</v>
      </c>
      <c r="I75" s="451">
        <f t="shared" si="34"/>
        <v>0.40322844208010883</v>
      </c>
      <c r="J75" s="414" t="s">
        <v>246</v>
      </c>
    </row>
    <row r="76" spans="1:10" outlineLevel="1" x14ac:dyDescent="0.3">
      <c r="A76" s="349" t="s">
        <v>127</v>
      </c>
      <c r="B76" s="340" t="s">
        <v>1</v>
      </c>
      <c r="C76" s="341" t="s">
        <v>128</v>
      </c>
      <c r="D76" s="451">
        <f>[1]InputSummary!AR102</f>
        <v>0.44757084214131948</v>
      </c>
      <c r="E76" s="451">
        <f>[1]InputSummary!AS102</f>
        <v>0.59155848991712223</v>
      </c>
      <c r="F76" s="451">
        <f>[1]InputSummary!AT102</f>
        <v>0.61655848991712225</v>
      </c>
      <c r="G76" s="451">
        <f>[1]InputSummary!AU102</f>
        <v>0.64155848991712228</v>
      </c>
      <c r="H76" s="451">
        <f>[1]InputSummary!AV102</f>
        <v>0.66655848991712219</v>
      </c>
      <c r="I76" s="451">
        <f t="shared" si="34"/>
        <v>0.66655848991712219</v>
      </c>
      <c r="J76" s="415" t="s">
        <v>247</v>
      </c>
    </row>
    <row r="77" spans="1:10" outlineLevel="1" x14ac:dyDescent="0.3">
      <c r="A77" s="349" t="s">
        <v>129</v>
      </c>
      <c r="B77" s="340" t="s">
        <v>1</v>
      </c>
      <c r="C77" s="341" t="s">
        <v>130</v>
      </c>
      <c r="D77" s="451">
        <f>[1]InputSummary!AR103</f>
        <v>-0.62142004788763061</v>
      </c>
      <c r="E77" s="451">
        <f>[1]InputSummary!AS103</f>
        <v>0</v>
      </c>
      <c r="F77" s="451">
        <f>[1]InputSummary!AT103</f>
        <v>0</v>
      </c>
      <c r="G77" s="451">
        <f>[1]InputSummary!AU103</f>
        <v>0</v>
      </c>
      <c r="H77" s="451">
        <f>[1]InputSummary!AV103</f>
        <v>0</v>
      </c>
      <c r="I77" s="451">
        <f t="shared" si="34"/>
        <v>0</v>
      </c>
      <c r="J77" s="415" t="s">
        <v>248</v>
      </c>
    </row>
    <row r="78" spans="1:10" outlineLevel="1" x14ac:dyDescent="0.3">
      <c r="A78" s="349" t="s">
        <v>131</v>
      </c>
      <c r="B78" s="340" t="s">
        <v>1</v>
      </c>
      <c r="C78" s="341" t="s">
        <v>132</v>
      </c>
      <c r="D78" s="451">
        <f>[1]InputSummary!AR104</f>
        <v>0</v>
      </c>
      <c r="E78" s="451">
        <f>[1]InputSummary!AS104</f>
        <v>0</v>
      </c>
      <c r="F78" s="451">
        <f>[1]InputSummary!AT104</f>
        <v>0</v>
      </c>
      <c r="G78" s="451">
        <f>[1]InputSummary!AU104</f>
        <v>0</v>
      </c>
      <c r="H78" s="451">
        <f>[1]InputSummary!AV104</f>
        <v>0</v>
      </c>
      <c r="I78" s="451">
        <f t="shared" si="34"/>
        <v>0</v>
      </c>
      <c r="J78" s="415" t="s">
        <v>249</v>
      </c>
    </row>
    <row r="79" spans="1:10" outlineLevel="1" x14ac:dyDescent="0.3">
      <c r="A79" s="349" t="s">
        <v>133</v>
      </c>
      <c r="B79" s="340" t="s">
        <v>1</v>
      </c>
      <c r="C79" s="341" t="s">
        <v>134</v>
      </c>
      <c r="D79" s="451">
        <f>[1]InputSummary!AR105</f>
        <v>0</v>
      </c>
      <c r="E79" s="451">
        <f>[1]InputSummary!AS105</f>
        <v>0</v>
      </c>
      <c r="F79" s="451">
        <f>[1]InputSummary!AT105</f>
        <v>0</v>
      </c>
      <c r="G79" s="451">
        <f>[1]InputSummary!AU105</f>
        <v>0</v>
      </c>
      <c r="H79" s="451">
        <f>[1]InputSummary!AV105</f>
        <v>0</v>
      </c>
      <c r="I79" s="451">
        <f t="shared" si="34"/>
        <v>0</v>
      </c>
      <c r="J79" s="415" t="s">
        <v>250</v>
      </c>
    </row>
    <row r="80" spans="1:10" outlineLevel="1" x14ac:dyDescent="0.3">
      <c r="A80" s="349" t="s">
        <v>135</v>
      </c>
      <c r="B80" s="340" t="s">
        <v>1</v>
      </c>
      <c r="C80" s="341" t="s">
        <v>136</v>
      </c>
      <c r="D80" s="451">
        <f>[1]InputSummary!AR106</f>
        <v>0.92100000000000004</v>
      </c>
      <c r="E80" s="451">
        <f>[1]InputSummary!AS106</f>
        <v>0.26</v>
      </c>
      <c r="F80" s="451">
        <f>[1]InputSummary!AT106</f>
        <v>0.26</v>
      </c>
      <c r="G80" s="451">
        <f>[1]InputSummary!AU106</f>
        <v>0.26</v>
      </c>
      <c r="H80" s="451">
        <f>[1]InputSummary!AV106</f>
        <v>0.26</v>
      </c>
      <c r="I80" s="451">
        <f t="shared" si="34"/>
        <v>0.26</v>
      </c>
      <c r="J80" s="415" t="s">
        <v>251</v>
      </c>
    </row>
    <row r="81" spans="1:10" outlineLevel="1" x14ac:dyDescent="0.3">
      <c r="A81" s="349" t="s">
        <v>137</v>
      </c>
      <c r="B81" s="340" t="s">
        <v>1</v>
      </c>
      <c r="C81" s="341" t="s">
        <v>138</v>
      </c>
      <c r="D81" s="451">
        <f>[1]InputSummary!AR107</f>
        <v>0</v>
      </c>
      <c r="E81" s="451">
        <f>[1]InputSummary!AS107</f>
        <v>0</v>
      </c>
      <c r="F81" s="451">
        <f>[1]InputSummary!AT107</f>
        <v>0</v>
      </c>
      <c r="G81" s="451">
        <f>[1]InputSummary!AU107</f>
        <v>0</v>
      </c>
      <c r="H81" s="451">
        <f>[1]InputSummary!AV107</f>
        <v>0</v>
      </c>
      <c r="I81" s="451">
        <f t="shared" si="34"/>
        <v>0</v>
      </c>
      <c r="J81" s="415" t="s">
        <v>252</v>
      </c>
    </row>
    <row r="82" spans="1:10" outlineLevel="1" x14ac:dyDescent="0.3">
      <c r="A82" s="350" t="s">
        <v>139</v>
      </c>
      <c r="B82" s="342" t="s">
        <v>1</v>
      </c>
      <c r="C82" s="343" t="s">
        <v>140</v>
      </c>
      <c r="D82" s="451">
        <f>[1]InputSummary!AR108</f>
        <v>0</v>
      </c>
      <c r="E82" s="451">
        <f>[1]InputSummary!AS108</f>
        <v>0</v>
      </c>
      <c r="F82" s="451">
        <f>[1]InputSummary!AT108</f>
        <v>0</v>
      </c>
      <c r="G82" s="451">
        <f>[1]InputSummary!AU108</f>
        <v>0</v>
      </c>
      <c r="H82" s="451">
        <f>[1]InputSummary!AV108</f>
        <v>0</v>
      </c>
      <c r="I82" s="451">
        <f t="shared" si="34"/>
        <v>0</v>
      </c>
      <c r="J82" s="416" t="s">
        <v>253</v>
      </c>
    </row>
    <row r="83" spans="1:10" x14ac:dyDescent="0.3">
      <c r="A83" s="354" t="s">
        <v>51</v>
      </c>
      <c r="B83" s="9" t="s">
        <v>1</v>
      </c>
      <c r="C83" s="53" t="s">
        <v>278</v>
      </c>
      <c r="D83" s="174">
        <f>SUM(D75:D82)</f>
        <v>1.0887035942536887</v>
      </c>
      <c r="E83" s="131">
        <f>SUM(E75:E82)</f>
        <v>1.2099837717661077</v>
      </c>
      <c r="F83" s="131">
        <f t="shared" ref="F83:I83" si="35">SUM(F75:F82)</f>
        <v>1.2499181585098156</v>
      </c>
      <c r="G83" s="131">
        <f t="shared" si="35"/>
        <v>1.2898525452535234</v>
      </c>
      <c r="H83" s="131">
        <f t="shared" si="35"/>
        <v>1.3297869319972311</v>
      </c>
      <c r="I83" s="132">
        <f t="shared" si="35"/>
        <v>1.3297869319972311</v>
      </c>
      <c r="J83" s="34" t="s">
        <v>272</v>
      </c>
    </row>
    <row r="84" spans="1:10" x14ac:dyDescent="0.3">
      <c r="A84" s="354" t="s">
        <v>53</v>
      </c>
      <c r="B84" s="9" t="s">
        <v>1</v>
      </c>
      <c r="C84" s="53" t="s">
        <v>279</v>
      </c>
      <c r="D84" s="511">
        <f>[1]Revenue!AR17</f>
        <v>0.28237825891316076</v>
      </c>
      <c r="E84" s="511">
        <f>[1]Revenue!AS17</f>
        <v>0.28237825891316076</v>
      </c>
      <c r="F84" s="511">
        <f>[1]Revenue!AT17</f>
        <v>0.28237825891316076</v>
      </c>
      <c r="G84" s="511">
        <f>[1]Revenue!AU17</f>
        <v>0.28237825891316076</v>
      </c>
      <c r="H84" s="511">
        <f>[1]Revenue!AV17</f>
        <v>0.28237825891316076</v>
      </c>
      <c r="I84" s="451">
        <f>H84</f>
        <v>0.28237825891316076</v>
      </c>
      <c r="J84" s="34" t="s">
        <v>54</v>
      </c>
    </row>
    <row r="85" spans="1:10" x14ac:dyDescent="0.3">
      <c r="A85" s="354" t="s">
        <v>55</v>
      </c>
      <c r="B85" s="9" t="s">
        <v>1</v>
      </c>
      <c r="C85" s="53" t="s">
        <v>280</v>
      </c>
      <c r="D85" s="511">
        <f>[1]Revenue!AR18</f>
        <v>9.3704416430449909E-4</v>
      </c>
      <c r="E85" s="511">
        <f>[1]Revenue!AS18</f>
        <v>0</v>
      </c>
      <c r="F85" s="511">
        <f>[1]Revenue!AT18</f>
        <v>0</v>
      </c>
      <c r="G85" s="511">
        <f>[1]Revenue!AU18</f>
        <v>0</v>
      </c>
      <c r="H85" s="511">
        <f>[1]Revenue!AV18</f>
        <v>0</v>
      </c>
      <c r="I85" s="451">
        <f>H85</f>
        <v>0</v>
      </c>
      <c r="J85" s="34" t="s">
        <v>56</v>
      </c>
    </row>
    <row r="86" spans="1:10" x14ac:dyDescent="0.3">
      <c r="A86" s="5" t="s">
        <v>57</v>
      </c>
      <c r="B86" s="11" t="s">
        <v>1</v>
      </c>
      <c r="C86" s="55"/>
      <c r="D86" s="174">
        <f t="shared" ref="D86:I86" si="36">SUM(D71:D85)-D83</f>
        <v>211.40286804257647</v>
      </c>
      <c r="E86" s="131">
        <f t="shared" si="36"/>
        <v>207.88140359021082</v>
      </c>
      <c r="F86" s="131">
        <f t="shared" si="36"/>
        <v>211.12444987444931</v>
      </c>
      <c r="G86" s="131">
        <f t="shared" si="36"/>
        <v>211.00402365361967</v>
      </c>
      <c r="H86" s="131">
        <f t="shared" si="36"/>
        <v>214.45468274679129</v>
      </c>
      <c r="I86" s="132">
        <f t="shared" si="36"/>
        <v>214.45468274679129</v>
      </c>
      <c r="J86" s="36" t="s">
        <v>183</v>
      </c>
    </row>
    <row r="87" spans="1:10" x14ac:dyDescent="0.3">
      <c r="A87" s="354" t="s">
        <v>58</v>
      </c>
      <c r="B87" s="9" t="s">
        <v>1</v>
      </c>
      <c r="C87" s="53" t="s">
        <v>281</v>
      </c>
      <c r="D87" s="511">
        <f>[1]Revenue!AR20</f>
        <v>11.663134936908554</v>
      </c>
      <c r="E87" s="511">
        <f>[1]Revenue!AS20</f>
        <v>10.051602166739425</v>
      </c>
      <c r="F87" s="511">
        <f>[1]Revenue!AT20</f>
        <v>9.5189112360020065</v>
      </c>
      <c r="G87" s="511">
        <f>[1]Revenue!AU20</f>
        <v>9.9679689416692145</v>
      </c>
      <c r="H87" s="511">
        <f>[1]Revenue!AV20</f>
        <v>8.0774824783858907</v>
      </c>
      <c r="I87" s="451">
        <f>H87</f>
        <v>8.0774824783858907</v>
      </c>
      <c r="J87" s="34" t="s">
        <v>59</v>
      </c>
    </row>
    <row r="88" spans="1:10" ht="15" thickBot="1" x14ac:dyDescent="0.35">
      <c r="A88" s="369" t="s">
        <v>60</v>
      </c>
      <c r="B88" s="28" t="s">
        <v>1</v>
      </c>
      <c r="C88" s="181" t="s">
        <v>282</v>
      </c>
      <c r="D88" s="511">
        <f>[1]Revenue!AR21</f>
        <v>0</v>
      </c>
      <c r="E88" s="511">
        <f>[1]Revenue!AS21</f>
        <v>0</v>
      </c>
      <c r="F88" s="511">
        <f>[1]Revenue!AT21</f>
        <v>0</v>
      </c>
      <c r="G88" s="511">
        <f>[1]Revenue!AU21</f>
        <v>0</v>
      </c>
      <c r="H88" s="511">
        <f>[1]Revenue!AV21</f>
        <v>0</v>
      </c>
      <c r="I88" s="451">
        <f>H88</f>
        <v>0</v>
      </c>
      <c r="J88" s="209" t="s">
        <v>61</v>
      </c>
    </row>
    <row r="89" spans="1:10" ht="15" thickBot="1" x14ac:dyDescent="0.35">
      <c r="A89" s="375" t="s">
        <v>62</v>
      </c>
      <c r="B89" s="376" t="s">
        <v>1</v>
      </c>
      <c r="C89" s="421"/>
      <c r="D89" s="179">
        <f>SUM(D86:D88)</f>
        <v>223.06600297948503</v>
      </c>
      <c r="E89" s="137">
        <f>SUM(E86:E88)</f>
        <v>217.93300575695025</v>
      </c>
      <c r="F89" s="137">
        <f t="shared" ref="F89:I89" si="37">SUM(F86:F88)</f>
        <v>220.64336111045131</v>
      </c>
      <c r="G89" s="137">
        <f t="shared" si="37"/>
        <v>220.9719925952889</v>
      </c>
      <c r="H89" s="137">
        <f t="shared" si="37"/>
        <v>222.53216522517718</v>
      </c>
      <c r="I89" s="138">
        <f t="shared" si="37"/>
        <v>222.53216522517718</v>
      </c>
      <c r="J89" s="428" t="s">
        <v>190</v>
      </c>
    </row>
    <row r="90" spans="1:10" ht="15.6" x14ac:dyDescent="0.3">
      <c r="A90" s="44" t="s">
        <v>63</v>
      </c>
      <c r="B90" s="161" t="s">
        <v>10</v>
      </c>
      <c r="C90" s="223" t="s">
        <v>336</v>
      </c>
      <c r="D90" s="451">
        <f>[1]AR!AR16</f>
        <v>1.2806226704273584</v>
      </c>
      <c r="E90" s="451">
        <f>[1]AR!AS16</f>
        <v>1.321109844088743</v>
      </c>
      <c r="F90" s="451">
        <f>[1]AR!AT16</f>
        <v>1.3540446211486474</v>
      </c>
      <c r="G90" s="451">
        <f>[1]AR!AU16</f>
        <v>1.3841294022609805</v>
      </c>
      <c r="H90" s="451">
        <f>[1]AR!AV16</f>
        <v>1.4132802659144532</v>
      </c>
      <c r="I90" s="451">
        <f>H90*1.02</f>
        <v>1.4415458712327422</v>
      </c>
      <c r="J90" s="133" t="s">
        <v>273</v>
      </c>
    </row>
    <row r="91" spans="1:10" ht="15" thickBot="1" x14ac:dyDescent="0.35">
      <c r="A91" s="242" t="s">
        <v>261</v>
      </c>
      <c r="B91" s="162" t="s">
        <v>10</v>
      </c>
      <c r="C91" s="224" t="s">
        <v>337</v>
      </c>
      <c r="D91" s="451">
        <f>[1]AR!AR17</f>
        <v>376.71650221738128</v>
      </c>
      <c r="E91" s="451">
        <f>[1]AR!AS17</f>
        <v>388.62647913610527</v>
      </c>
      <c r="F91" s="451">
        <f>[1]AR!AT17</f>
        <v>398.31479272122715</v>
      </c>
      <c r="G91" s="451">
        <f>[1]AR!AU17</f>
        <v>407.16473249843847</v>
      </c>
      <c r="H91" s="451">
        <f>[1]AR!AV17</f>
        <v>415.73994488983499</v>
      </c>
      <c r="I91" s="451">
        <f>H91*1.02</f>
        <v>424.05474378763171</v>
      </c>
      <c r="J91" s="134" t="s">
        <v>184</v>
      </c>
    </row>
    <row r="92" spans="1:10" ht="15" thickBot="1" x14ac:dyDescent="0.35">
      <c r="A92" s="6"/>
      <c r="B92" s="12"/>
      <c r="C92" s="58"/>
      <c r="D92" s="176"/>
      <c r="E92" s="18"/>
      <c r="F92" s="12"/>
      <c r="G92" s="12"/>
      <c r="H92" s="12"/>
      <c r="I92" s="19"/>
      <c r="J92" s="37"/>
    </row>
    <row r="93" spans="1:10" ht="15" thickBot="1" x14ac:dyDescent="0.35">
      <c r="A93" s="371" t="s">
        <v>62</v>
      </c>
      <c r="B93" s="376" t="s">
        <v>65</v>
      </c>
      <c r="C93" s="421" t="s">
        <v>66</v>
      </c>
      <c r="D93" s="179">
        <f>D89*D90</f>
        <v>285.66338041714522</v>
      </c>
      <c r="E93" s="137">
        <f t="shared" ref="E93:I93" si="38">E89*E90</f>
        <v>287.91343925735566</v>
      </c>
      <c r="F93" s="137">
        <f t="shared" si="38"/>
        <v>298.76095630376523</v>
      </c>
      <c r="G93" s="137">
        <f t="shared" si="38"/>
        <v>305.85383202733505</v>
      </c>
      <c r="H93" s="137">
        <f t="shared" si="38"/>
        <v>314.50031764395743</v>
      </c>
      <c r="I93" s="138">
        <f t="shared" si="38"/>
        <v>320.79032399683661</v>
      </c>
      <c r="J93" s="428" t="s">
        <v>395</v>
      </c>
    </row>
    <row r="94" spans="1:10" x14ac:dyDescent="0.3">
      <c r="A94" s="357" t="s">
        <v>67</v>
      </c>
      <c r="B94" s="45" t="s">
        <v>65</v>
      </c>
      <c r="C94" s="51" t="s">
        <v>68</v>
      </c>
      <c r="D94" s="251">
        <f>D105</f>
        <v>0.46195206746633743</v>
      </c>
      <c r="E94" s="228">
        <f>E105</f>
        <v>19.761937375742903</v>
      </c>
      <c r="F94" s="228">
        <f t="shared" ref="F94:I94" si="39">F105</f>
        <v>-26.525303119052516</v>
      </c>
      <c r="G94" s="228">
        <f t="shared" si="39"/>
        <v>-10.070482081758451</v>
      </c>
      <c r="H94" s="228">
        <f t="shared" si="39"/>
        <v>-0.77430696344426797</v>
      </c>
      <c r="I94" s="229">
        <f t="shared" si="39"/>
        <v>0</v>
      </c>
      <c r="J94" s="253" t="s">
        <v>181</v>
      </c>
    </row>
    <row r="95" spans="1:10" x14ac:dyDescent="0.3">
      <c r="A95" s="42" t="s">
        <v>69</v>
      </c>
      <c r="B95" s="10" t="s">
        <v>65</v>
      </c>
      <c r="C95" s="54" t="s">
        <v>70</v>
      </c>
      <c r="D95" s="451">
        <f>[1]AR!AR51</f>
        <v>0</v>
      </c>
      <c r="E95" s="451">
        <f>[1]AR!AS51</f>
        <v>0</v>
      </c>
      <c r="F95" s="451">
        <f>[1]AR!AT51</f>
        <v>0</v>
      </c>
      <c r="G95" s="451">
        <f>[1]AR!AU51</f>
        <v>0</v>
      </c>
      <c r="H95" s="451">
        <f>[1]AR!AV51</f>
        <v>0</v>
      </c>
      <c r="I95" s="451">
        <f>[1]AR!AW51</f>
        <v>0</v>
      </c>
      <c r="J95" s="35" t="s">
        <v>186</v>
      </c>
    </row>
    <row r="96" spans="1:10" ht="15" thickBot="1" x14ac:dyDescent="0.35">
      <c r="A96" s="372" t="s">
        <v>71</v>
      </c>
      <c r="B96" s="14" t="s">
        <v>65</v>
      </c>
      <c r="C96" s="57" t="s">
        <v>72</v>
      </c>
      <c r="D96" s="451">
        <f>[1]AR!AR52</f>
        <v>-15.476988251258661</v>
      </c>
      <c r="E96" s="451">
        <f>[1]AR!AS52</f>
        <v>19.033344998711964</v>
      </c>
      <c r="F96" s="451">
        <f>[1]AR!AT52</f>
        <v>0.70889709876424756</v>
      </c>
      <c r="G96" s="451">
        <f>[1]AR!AU52</f>
        <v>0.77205666167030262</v>
      </c>
      <c r="H96" s="451">
        <f>[1]AR!AV52</f>
        <v>0.82072734041597273</v>
      </c>
      <c r="I96" s="451">
        <f>[1]AR!AW52</f>
        <v>0</v>
      </c>
      <c r="J96" s="38" t="s">
        <v>187</v>
      </c>
    </row>
    <row r="97" spans="1:10" ht="15" thickBot="1" x14ac:dyDescent="0.35">
      <c r="A97" s="375" t="s">
        <v>73</v>
      </c>
      <c r="B97" s="422" t="s">
        <v>65</v>
      </c>
      <c r="C97" s="423" t="s">
        <v>74</v>
      </c>
      <c r="D97" s="270">
        <f>SUM(D93:D96)</f>
        <v>270.64834423335287</v>
      </c>
      <c r="E97" s="271">
        <f t="shared" ref="E97:I97" si="40">SUM(E93:E96)</f>
        <v>326.70872163181053</v>
      </c>
      <c r="F97" s="271">
        <f t="shared" si="40"/>
        <v>272.94455028347693</v>
      </c>
      <c r="G97" s="271">
        <f t="shared" si="40"/>
        <v>296.55540660724694</v>
      </c>
      <c r="H97" s="271">
        <f t="shared" si="40"/>
        <v>314.54673802092918</v>
      </c>
      <c r="I97" s="272">
        <f t="shared" si="40"/>
        <v>320.79032399683661</v>
      </c>
      <c r="J97" s="427" t="s">
        <v>188</v>
      </c>
    </row>
    <row r="98" spans="1:10" ht="15" thickBot="1" x14ac:dyDescent="0.35">
      <c r="A98" s="6"/>
      <c r="B98" s="12"/>
      <c r="C98" s="58"/>
      <c r="D98" s="176"/>
      <c r="E98" s="18"/>
      <c r="F98" s="12"/>
      <c r="G98" s="12"/>
      <c r="H98" s="12"/>
      <c r="I98" s="19"/>
      <c r="J98" s="37"/>
    </row>
    <row r="99" spans="1:10" ht="15" thickBot="1" x14ac:dyDescent="0.35">
      <c r="A99" s="375" t="s">
        <v>75</v>
      </c>
      <c r="B99" s="424" t="s">
        <v>65</v>
      </c>
      <c r="C99" s="425" t="s">
        <v>76</v>
      </c>
      <c r="D99" s="463">
        <f>[1]AR!AR$62</f>
        <v>252.22409897166668</v>
      </c>
      <c r="E99" s="463">
        <f>[1]AR!AS$62</f>
        <v>351.56071157497553</v>
      </c>
      <c r="F99" s="463">
        <f>[1]AR!AT$62</f>
        <v>282.40877300148071</v>
      </c>
      <c r="G99" s="463">
        <f>[1]AR!AU$62</f>
        <v>297.28379570782431</v>
      </c>
      <c r="H99" s="463">
        <f>[1]AR!AV$62</f>
        <v>314.5467380209293</v>
      </c>
      <c r="I99" s="463">
        <f>I97</f>
        <v>320.79032399683661</v>
      </c>
      <c r="J99" s="426" t="s">
        <v>191</v>
      </c>
    </row>
    <row r="100" spans="1:10" ht="15" thickBot="1" x14ac:dyDescent="0.35">
      <c r="A100" s="230" t="s">
        <v>77</v>
      </c>
      <c r="B100" s="211" t="s">
        <v>65</v>
      </c>
      <c r="C100" s="212"/>
      <c r="D100" s="175">
        <f>D97-D99</f>
        <v>18.424245261686195</v>
      </c>
      <c r="E100" s="144">
        <f t="shared" ref="E100:I100" si="41">E97-E99</f>
        <v>-24.851989943164995</v>
      </c>
      <c r="F100" s="144">
        <f t="shared" si="41"/>
        <v>-9.4642227180037821</v>
      </c>
      <c r="G100" s="144">
        <f t="shared" si="41"/>
        <v>-0.72838910057737394</v>
      </c>
      <c r="H100" s="144">
        <f t="shared" si="41"/>
        <v>0</v>
      </c>
      <c r="I100" s="145">
        <f t="shared" si="41"/>
        <v>0</v>
      </c>
      <c r="J100" s="433" t="s">
        <v>192</v>
      </c>
    </row>
    <row r="101" spans="1:10" ht="15" thickBot="1" x14ac:dyDescent="0.35">
      <c r="A101" s="6"/>
      <c r="B101" s="12"/>
      <c r="C101" s="58"/>
      <c r="D101" s="43"/>
      <c r="E101" s="12"/>
      <c r="F101" s="12"/>
      <c r="G101" s="12"/>
      <c r="H101" s="12"/>
      <c r="I101" s="19"/>
      <c r="J101" s="37"/>
    </row>
    <row r="102" spans="1:10" ht="15" thickBot="1" x14ac:dyDescent="0.35">
      <c r="A102" s="370" t="s">
        <v>78</v>
      </c>
      <c r="B102" s="13" t="s">
        <v>8</v>
      </c>
      <c r="C102" s="56" t="s">
        <v>79</v>
      </c>
      <c r="D102" s="465">
        <f>[1]AR!AR65</f>
        <v>3.97335776E-2</v>
      </c>
      <c r="E102" s="465">
        <f>[1]AR!AS65</f>
        <v>4.1370183200000001E-2</v>
      </c>
      <c r="F102" s="465">
        <f>[1]AR!AT65</f>
        <v>4.09301584E-2</v>
      </c>
      <c r="G102" s="465">
        <f>[1]AR!AU65</f>
        <v>4.1113614800000003E-2</v>
      </c>
      <c r="H102" s="465">
        <f>[1]AR!AV65</f>
        <v>4.1190859599999997E-2</v>
      </c>
      <c r="I102" s="465">
        <f>H102</f>
        <v>4.1190859599999997E-2</v>
      </c>
      <c r="J102" s="39" t="s">
        <v>193</v>
      </c>
    </row>
    <row r="103" spans="1:10" x14ac:dyDescent="0.3">
      <c r="A103" s="42" t="s">
        <v>80</v>
      </c>
      <c r="B103" s="10" t="s">
        <v>81</v>
      </c>
      <c r="C103" s="54" t="s">
        <v>82</v>
      </c>
      <c r="D103" s="465">
        <f>[1]AR!AR66</f>
        <v>3.1615224840486178E-2</v>
      </c>
      <c r="E103" s="465">
        <f>[1]AR!AS66</f>
        <v>2.4929628075416987E-2</v>
      </c>
      <c r="F103" s="465">
        <f>[1]AR!AT66</f>
        <v>2.2218456203320525E-2</v>
      </c>
      <c r="G103" s="465">
        <f>[1]AR!AU66</f>
        <v>2.106079359766122E-2</v>
      </c>
      <c r="H103" s="465">
        <f>H91/G91-1</f>
        <v>2.106079359766122E-2</v>
      </c>
      <c r="I103" s="465">
        <f>I91/H91-1</f>
        <v>2.0000000000000018E-2</v>
      </c>
      <c r="J103" s="40" t="s">
        <v>264</v>
      </c>
    </row>
    <row r="104" spans="1:10" ht="15" thickBot="1" x14ac:dyDescent="0.35">
      <c r="A104" s="42" t="s">
        <v>83</v>
      </c>
      <c r="B104" s="14" t="s">
        <v>84</v>
      </c>
      <c r="C104" s="57" t="s">
        <v>85</v>
      </c>
      <c r="D104" s="238">
        <f>(1+D102)*(1+D103)-1</f>
        <v>7.2604988430027051E-2</v>
      </c>
      <c r="E104" s="239">
        <f t="shared" ref="E104:I104" si="42">(1+E102)*(1+E103)-1</f>
        <v>6.7331154556004913E-2</v>
      </c>
      <c r="F104" s="239">
        <f t="shared" si="42"/>
        <v>6.405801953512591E-2</v>
      </c>
      <c r="G104" s="239">
        <f t="shared" si="42"/>
        <v>6.3040293753017673E-2</v>
      </c>
      <c r="H104" s="239">
        <f t="shared" si="42"/>
        <v>6.3119165389806886E-2</v>
      </c>
      <c r="I104" s="240">
        <f t="shared" si="42"/>
        <v>6.2014676792000012E-2</v>
      </c>
      <c r="J104" s="254" t="s">
        <v>262</v>
      </c>
    </row>
    <row r="105" spans="1:10" ht="15" thickBot="1" x14ac:dyDescent="0.35">
      <c r="A105" s="375" t="s">
        <v>86</v>
      </c>
      <c r="B105" s="424" t="s">
        <v>65</v>
      </c>
      <c r="C105" s="425" t="s">
        <v>68</v>
      </c>
      <c r="D105" s="463">
        <f>[1]AR!$AR$50</f>
        <v>0.46195206746633743</v>
      </c>
      <c r="E105" s="464">
        <f>D100*(1+D104)</f>
        <v>19.761937375742903</v>
      </c>
      <c r="F105" s="464">
        <f>E100*(1+E104)</f>
        <v>-26.525303119052516</v>
      </c>
      <c r="G105" s="464">
        <f t="shared" ref="G105:I105" si="43">F100*(1+F104)</f>
        <v>-10.070482081758451</v>
      </c>
      <c r="H105" s="464">
        <f t="shared" si="43"/>
        <v>-0.77430696344426797</v>
      </c>
      <c r="I105" s="464">
        <f t="shared" si="43"/>
        <v>0</v>
      </c>
      <c r="J105" s="426" t="s">
        <v>194</v>
      </c>
    </row>
    <row r="107" spans="1:10" x14ac:dyDescent="0.3">
      <c r="A107" s="7" t="s">
        <v>124</v>
      </c>
      <c r="D107" s="24">
        <f>D97-[1]AR!AR$53</f>
        <v>0</v>
      </c>
      <c r="E107" s="24">
        <f>E97-[1]AR!AS$53</f>
        <v>0</v>
      </c>
      <c r="F107" s="24">
        <f>F97-[1]AR!AT$53</f>
        <v>0</v>
      </c>
      <c r="G107" s="24">
        <f>G97-[1]AR!AU$53</f>
        <v>0</v>
      </c>
      <c r="H107" s="24">
        <f>H97-[1]AR!AV$53</f>
        <v>0</v>
      </c>
      <c r="I107" s="24"/>
    </row>
  </sheetData>
  <phoneticPr fontId="11" type="noConversion"/>
  <pageMargins left="0.7" right="0.7" top="0.75" bottom="0.75" header="0.3" footer="0.3"/>
  <pageSetup paperSize="8"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79998168889431442"/>
  </sheetPr>
  <dimension ref="A1:J55"/>
  <sheetViews>
    <sheetView showGridLines="0" zoomScale="60" zoomScaleNormal="60" workbookViewId="0">
      <selection activeCell="F55" sqref="F55"/>
    </sheetView>
  </sheetViews>
  <sheetFormatPr defaultRowHeight="14.4" outlineLevelRow="1" x14ac:dyDescent="0.3"/>
  <cols>
    <col min="1" max="1" width="86.6640625" bestFit="1" customWidth="1"/>
    <col min="2" max="2" width="19.88671875" style="15" bestFit="1" customWidth="1"/>
    <col min="3" max="3" width="19.6640625" style="15" bestFit="1" customWidth="1"/>
    <col min="4" max="5" width="11.44140625" style="15" bestFit="1" customWidth="1"/>
    <col min="6" max="7" width="11.6640625" style="15" bestFit="1" customWidth="1"/>
    <col min="8" max="8" width="11.44140625" style="15" customWidth="1"/>
    <col min="9" max="9" width="11.6640625" style="15" bestFit="1" customWidth="1"/>
    <col min="10" max="10" width="83.88671875" style="30" bestFit="1" customWidth="1"/>
  </cols>
  <sheetData>
    <row r="1" spans="1:10" x14ac:dyDescent="0.3">
      <c r="A1" s="64" t="s">
        <v>305</v>
      </c>
      <c r="B1" s="65" t="str">
        <f>IF(Cover!C5="","Enter Company Name",Cover!C5)</f>
        <v>NGED South Wales</v>
      </c>
      <c r="J1" s="41"/>
    </row>
    <row r="2" spans="1:10" x14ac:dyDescent="0.3">
      <c r="A2" s="64" t="s">
        <v>306</v>
      </c>
      <c r="B2" s="66">
        <f>IF(Cover!C6="","Enter Date",Cover!C6)</f>
        <v>45689</v>
      </c>
      <c r="J2" s="41"/>
    </row>
    <row r="3" spans="1:10" ht="15" thickBot="1" x14ac:dyDescent="0.35">
      <c r="A3" s="64" t="s">
        <v>307</v>
      </c>
      <c r="B3" s="65" t="s">
        <v>311</v>
      </c>
      <c r="J3" s="41"/>
    </row>
    <row r="4" spans="1:10" x14ac:dyDescent="0.3">
      <c r="A4" s="100" t="s">
        <v>87</v>
      </c>
      <c r="B4" s="101"/>
      <c r="C4" s="169"/>
      <c r="D4" s="171" t="str">
        <f>IF(Cover!$C$6="","Reg Year",LEFT(E4,4)-1&amp;"/"&amp;RIGHT(E4,2)-1)</f>
        <v>2023/24</v>
      </c>
      <c r="E4" s="102" t="str">
        <f>IF(Cover!$C$6="","Reg Year",Cover!C8)</f>
        <v>2024/25</v>
      </c>
      <c r="F4" s="102" t="str">
        <f>IF(Cover!$C$6="","Reg Year",LEFT(E4,4)+1&amp;"/"&amp;RIGHT(E4,2)+1)</f>
        <v>2025/26</v>
      </c>
      <c r="G4" s="102" t="str">
        <f>IF(Cover!$C$6="","Reg Year",LEFT(F4,4)+1&amp;"/"&amp;RIGHT(F4,2)+1)</f>
        <v>2026/27</v>
      </c>
      <c r="H4" s="102" t="str">
        <f>IF(Cover!$C$6="","Reg Year",LEFT(G4,4)+1&amp;"/"&amp;RIGHT(G4,2)+1)</f>
        <v>2027/28</v>
      </c>
      <c r="I4" s="103" t="str">
        <f>IF(Cover!$C$6="","Reg Year",LEFT(H4,4)+1&amp;"/"&amp;RIGHT(H4,2)+1)</f>
        <v>2028/29</v>
      </c>
      <c r="J4" s="182" t="s">
        <v>300</v>
      </c>
    </row>
    <row r="5" spans="1:10" ht="15" thickBot="1" x14ac:dyDescent="0.35">
      <c r="A5" s="104"/>
      <c r="B5" s="105"/>
      <c r="C5" s="170"/>
      <c r="D5" s="172" t="s">
        <v>313</v>
      </c>
      <c r="E5" s="106" t="s">
        <v>312</v>
      </c>
      <c r="F5" s="106" t="s">
        <v>314</v>
      </c>
      <c r="G5" s="106" t="s">
        <v>315</v>
      </c>
      <c r="H5" s="106" t="s">
        <v>316</v>
      </c>
      <c r="I5" s="107" t="s">
        <v>317</v>
      </c>
      <c r="J5" s="183"/>
    </row>
    <row r="6" spans="1:10" x14ac:dyDescent="0.3">
      <c r="A6" s="382" t="s">
        <v>0</v>
      </c>
      <c r="B6" s="29" t="s">
        <v>1</v>
      </c>
      <c r="C6" s="180" t="s">
        <v>283</v>
      </c>
      <c r="D6" s="195">
        <f>'Table 1 - Detailed'!D46</f>
        <v>37.878477960655637</v>
      </c>
      <c r="E6" s="139">
        <f>'Table 1 - Detailed'!E46</f>
        <v>39.473368720929287</v>
      </c>
      <c r="F6" s="139">
        <f>'Table 1 - Detailed'!F46</f>
        <v>41.778590966634511</v>
      </c>
      <c r="G6" s="139">
        <f>'Table 1 - Detailed'!G46</f>
        <v>39.041592698973751</v>
      </c>
      <c r="H6" s="139">
        <f>'Table 1 - Detailed'!H46</f>
        <v>40.784186623950688</v>
      </c>
      <c r="I6" s="196">
        <f>'Table 1 - Detailed'!I46</f>
        <v>40.784186623950688</v>
      </c>
      <c r="J6" s="184" t="s">
        <v>2</v>
      </c>
    </row>
    <row r="7" spans="1:10" x14ac:dyDescent="0.3">
      <c r="A7" s="381" t="s">
        <v>3</v>
      </c>
      <c r="B7" s="9" t="s">
        <v>1</v>
      </c>
      <c r="C7" s="53" t="s">
        <v>284</v>
      </c>
      <c r="D7" s="195">
        <f>'Table 1 - Detailed'!D50</f>
        <v>88.58756007816288</v>
      </c>
      <c r="E7" s="139">
        <f>'Table 1 - Detailed'!E50</f>
        <v>87.832768984071734</v>
      </c>
      <c r="F7" s="139">
        <f>'Table 1 - Detailed'!F50</f>
        <v>87.342566622296005</v>
      </c>
      <c r="G7" s="139">
        <f>'Table 1 - Detailed'!G50</f>
        <v>87.080958035733985</v>
      </c>
      <c r="H7" s="139">
        <f>'Table 1 - Detailed'!H50</f>
        <v>86.138118045559438</v>
      </c>
      <c r="I7" s="196">
        <f>'Table 1 - Detailed'!I50</f>
        <v>86.138118045559438</v>
      </c>
      <c r="J7" s="185" t="s">
        <v>16</v>
      </c>
    </row>
    <row r="8" spans="1:10" x14ac:dyDescent="0.3">
      <c r="A8" s="381" t="s">
        <v>15</v>
      </c>
      <c r="B8" s="9" t="s">
        <v>1</v>
      </c>
      <c r="C8" s="53" t="s">
        <v>285</v>
      </c>
      <c r="D8" s="195">
        <f>'Table 1 - Detailed'!D57</f>
        <v>50.959093852025632</v>
      </c>
      <c r="E8" s="139">
        <f>'Table 1 - Detailed'!E57</f>
        <v>55.101662290066344</v>
      </c>
      <c r="F8" s="139">
        <f>'Table 1 - Detailed'!F57</f>
        <v>56.940990231900088</v>
      </c>
      <c r="G8" s="139">
        <f>'Table 1 - Detailed'!G57</f>
        <v>59.631442114745283</v>
      </c>
      <c r="H8" s="139">
        <f>'Table 1 - Detailed'!H57</f>
        <v>62.249612886370784</v>
      </c>
      <c r="I8" s="196">
        <f>'Table 1 - Detailed'!I57</f>
        <v>62.249612886370784</v>
      </c>
      <c r="J8" s="185" t="s">
        <v>17</v>
      </c>
    </row>
    <row r="9" spans="1:10" outlineLevel="1" x14ac:dyDescent="0.3">
      <c r="A9" s="383" t="s">
        <v>19</v>
      </c>
      <c r="B9" s="335" t="s">
        <v>1</v>
      </c>
      <c r="C9" s="336" t="s">
        <v>20</v>
      </c>
      <c r="D9" s="384">
        <f>'Table 1 - Detailed'!D58</f>
        <v>1.0815051396347761</v>
      </c>
      <c r="E9" s="385">
        <f>'Table 1 - Detailed'!E58</f>
        <v>1.0920000000000001</v>
      </c>
      <c r="F9" s="385">
        <f>'Table 1 - Detailed'!F58</f>
        <v>1.0920000000000001</v>
      </c>
      <c r="G9" s="385">
        <f>'Table 1 - Detailed'!G58</f>
        <v>1.0920000000000001</v>
      </c>
      <c r="H9" s="385">
        <f>'Table 1 - Detailed'!H58</f>
        <v>1.0920000000000001</v>
      </c>
      <c r="I9" s="386">
        <f>'Table 1 - Detailed'!I58</f>
        <v>1.0920000000000001</v>
      </c>
      <c r="J9" s="387" t="s">
        <v>234</v>
      </c>
    </row>
    <row r="10" spans="1:10" outlineLevel="1" x14ac:dyDescent="0.3">
      <c r="A10" s="388" t="s">
        <v>21</v>
      </c>
      <c r="B10" s="340" t="s">
        <v>1</v>
      </c>
      <c r="C10" s="341" t="s">
        <v>22</v>
      </c>
      <c r="D10" s="389">
        <f>'Table 1 - Detailed'!D59</f>
        <v>11.946297963704367</v>
      </c>
      <c r="E10" s="390">
        <f>'Table 1 - Detailed'!E59</f>
        <v>14.056699999999999</v>
      </c>
      <c r="F10" s="390">
        <f>'Table 1 - Detailed'!F59</f>
        <v>14.0793</v>
      </c>
      <c r="G10" s="390">
        <f>'Table 1 - Detailed'!G59</f>
        <v>14.0383</v>
      </c>
      <c r="H10" s="390">
        <f>'Table 1 - Detailed'!H59</f>
        <v>14.024699999999999</v>
      </c>
      <c r="I10" s="391">
        <f>'Table 1 - Detailed'!I59</f>
        <v>14.024699999999999</v>
      </c>
      <c r="J10" s="392" t="s">
        <v>235</v>
      </c>
    </row>
    <row r="11" spans="1:10" outlineLevel="1" x14ac:dyDescent="0.3">
      <c r="A11" s="388" t="s">
        <v>23</v>
      </c>
      <c r="B11" s="340" t="s">
        <v>1</v>
      </c>
      <c r="C11" s="341" t="s">
        <v>24</v>
      </c>
      <c r="D11" s="389">
        <f>'Table 1 - Detailed'!D60</f>
        <v>6.6503586080964148</v>
      </c>
      <c r="E11" s="390">
        <f>'Table 1 - Detailed'!E60</f>
        <v>7.6444000000000001</v>
      </c>
      <c r="F11" s="390">
        <f>'Table 1 - Detailed'!F60</f>
        <v>7.6444000000000001</v>
      </c>
      <c r="G11" s="390">
        <f>'Table 1 - Detailed'!G60</f>
        <v>7.6444000000000001</v>
      </c>
      <c r="H11" s="390">
        <f>'Table 1 - Detailed'!H60</f>
        <v>7.6444000000000001</v>
      </c>
      <c r="I11" s="391">
        <f>'Table 1 - Detailed'!I60</f>
        <v>7.6444000000000001</v>
      </c>
      <c r="J11" s="392" t="s">
        <v>236</v>
      </c>
    </row>
    <row r="12" spans="1:10" outlineLevel="1" x14ac:dyDescent="0.3">
      <c r="A12" s="388" t="s">
        <v>25</v>
      </c>
      <c r="B12" s="340" t="s">
        <v>1</v>
      </c>
      <c r="C12" s="341" t="s">
        <v>26</v>
      </c>
      <c r="D12" s="389">
        <f>'Table 1 - Detailed'!D61</f>
        <v>1.0487085938841185</v>
      </c>
      <c r="E12" s="390">
        <f>'Table 1 - Detailed'!E61</f>
        <v>1.1356999999999999</v>
      </c>
      <c r="F12" s="390">
        <f>'Table 1 - Detailed'!F61</f>
        <v>1.1396999999999999</v>
      </c>
      <c r="G12" s="390">
        <f>'Table 1 - Detailed'!G61</f>
        <v>1.1328</v>
      </c>
      <c r="H12" s="390">
        <f>'Table 1 - Detailed'!H61</f>
        <v>1.1369</v>
      </c>
      <c r="I12" s="391">
        <f>'Table 1 - Detailed'!I61</f>
        <v>1.1369</v>
      </c>
      <c r="J12" s="392" t="s">
        <v>237</v>
      </c>
    </row>
    <row r="13" spans="1:10" outlineLevel="1" x14ac:dyDescent="0.3">
      <c r="A13" s="388" t="s">
        <v>27</v>
      </c>
      <c r="B13" s="340" t="s">
        <v>1</v>
      </c>
      <c r="C13" s="341" t="s">
        <v>28</v>
      </c>
      <c r="D13" s="389">
        <f>'Table 1 - Detailed'!D62</f>
        <v>0.11111782048377519</v>
      </c>
      <c r="E13" s="390">
        <f>'Table 1 - Detailed'!E62</f>
        <v>0.2591</v>
      </c>
      <c r="F13" s="390">
        <f>'Table 1 - Detailed'!F62</f>
        <v>0.3513</v>
      </c>
      <c r="G13" s="390">
        <f>'Table 1 - Detailed'!G62</f>
        <v>0.24859999999999999</v>
      </c>
      <c r="H13" s="390">
        <f>'Table 1 - Detailed'!H62</f>
        <v>0.25090000000000001</v>
      </c>
      <c r="I13" s="391">
        <f>'Table 1 - Detailed'!I62</f>
        <v>0.25090000000000001</v>
      </c>
      <c r="J13" s="392" t="s">
        <v>238</v>
      </c>
    </row>
    <row r="14" spans="1:10" outlineLevel="1" x14ac:dyDescent="0.3">
      <c r="A14" s="388" t="s">
        <v>29</v>
      </c>
      <c r="B14" s="340" t="s">
        <v>1</v>
      </c>
      <c r="C14" s="341" t="s">
        <v>30</v>
      </c>
      <c r="D14" s="389">
        <f>'Table 1 - Detailed'!D63</f>
        <v>1.1088355944269906E-2</v>
      </c>
      <c r="E14" s="390">
        <f>'Table 1 - Detailed'!E63</f>
        <v>2.1700000000000001E-2</v>
      </c>
      <c r="F14" s="390">
        <f>'Table 1 - Detailed'!F63</f>
        <v>2.1700000000000001E-2</v>
      </c>
      <c r="G14" s="390">
        <f>'Table 1 - Detailed'!G63</f>
        <v>2.1700000000000001E-2</v>
      </c>
      <c r="H14" s="390">
        <f>'Table 1 - Detailed'!H63</f>
        <v>2.1700000000000001E-2</v>
      </c>
      <c r="I14" s="391">
        <f>'Table 1 - Detailed'!I63</f>
        <v>2.1700000000000001E-2</v>
      </c>
      <c r="J14" s="392" t="s">
        <v>239</v>
      </c>
    </row>
    <row r="15" spans="1:10" outlineLevel="1" x14ac:dyDescent="0.3">
      <c r="A15" s="388" t="s">
        <v>31</v>
      </c>
      <c r="B15" s="340" t="s">
        <v>1</v>
      </c>
      <c r="C15" s="341" t="s">
        <v>32</v>
      </c>
      <c r="D15" s="389">
        <f>'Table 1 - Detailed'!D64</f>
        <v>8.0677159936206611</v>
      </c>
      <c r="E15" s="390">
        <f>'Table 1 - Detailed'!E64</f>
        <v>0.25414156446420705</v>
      </c>
      <c r="F15" s="390">
        <f>'Table 1 - Detailed'!F64</f>
        <v>-0.29839436380423456</v>
      </c>
      <c r="G15" s="390">
        <f>'Table 1 - Detailed'!G64</f>
        <v>0</v>
      </c>
      <c r="H15" s="390">
        <f>'Table 1 - Detailed'!H64</f>
        <v>0</v>
      </c>
      <c r="I15" s="391">
        <f>'Table 1 - Detailed'!I64</f>
        <v>0</v>
      </c>
      <c r="J15" s="392" t="s">
        <v>240</v>
      </c>
    </row>
    <row r="16" spans="1:10" outlineLevel="1" x14ac:dyDescent="0.3">
      <c r="A16" s="388" t="s">
        <v>33</v>
      </c>
      <c r="B16" s="340" t="s">
        <v>1</v>
      </c>
      <c r="C16" s="341" t="s">
        <v>34</v>
      </c>
      <c r="D16" s="389">
        <f>'Table 1 - Detailed'!D65</f>
        <v>5.7784390132110787E-3</v>
      </c>
      <c r="E16" s="390">
        <f>'Table 1 - Detailed'!E65</f>
        <v>1.7500000000000002E-2</v>
      </c>
      <c r="F16" s="390">
        <f>'Table 1 - Detailed'!F65</f>
        <v>0</v>
      </c>
      <c r="G16" s="390">
        <f>'Table 1 - Detailed'!G65</f>
        <v>0</v>
      </c>
      <c r="H16" s="390">
        <f>'Table 1 - Detailed'!H65</f>
        <v>0</v>
      </c>
      <c r="I16" s="391">
        <f>'Table 1 - Detailed'!I65</f>
        <v>0</v>
      </c>
      <c r="J16" s="392" t="s">
        <v>241</v>
      </c>
    </row>
    <row r="17" spans="1:10" outlineLevel="1" x14ac:dyDescent="0.3">
      <c r="A17" s="388" t="s">
        <v>35</v>
      </c>
      <c r="B17" s="340" t="s">
        <v>1</v>
      </c>
      <c r="C17" s="341" t="s">
        <v>36</v>
      </c>
      <c r="D17" s="389">
        <f>'Table 1 - Detailed'!D66</f>
        <v>0</v>
      </c>
      <c r="E17" s="390">
        <f>'Table 1 - Detailed'!E66</f>
        <v>-0.5</v>
      </c>
      <c r="F17" s="390">
        <f>'Table 1 - Detailed'!F66</f>
        <v>-0.5</v>
      </c>
      <c r="G17" s="390">
        <f>'Table 1 - Detailed'!G66</f>
        <v>-0.5</v>
      </c>
      <c r="H17" s="390">
        <f>'Table 1 - Detailed'!H66</f>
        <v>-0.5</v>
      </c>
      <c r="I17" s="391">
        <f>'Table 1 - Detailed'!I66</f>
        <v>-0.5</v>
      </c>
      <c r="J17" s="392" t="s">
        <v>242</v>
      </c>
    </row>
    <row r="18" spans="1:10" outlineLevel="1" x14ac:dyDescent="0.3">
      <c r="A18" s="388" t="s">
        <v>37</v>
      </c>
      <c r="B18" s="340" t="s">
        <v>1</v>
      </c>
      <c r="C18" s="341" t="s">
        <v>38</v>
      </c>
      <c r="D18" s="389">
        <f>'Table 1 - Detailed'!D67</f>
        <v>0</v>
      </c>
      <c r="E18" s="390">
        <f>'Table 1 - Detailed'!E67</f>
        <v>0</v>
      </c>
      <c r="F18" s="390">
        <f>'Table 1 - Detailed'!F67</f>
        <v>0</v>
      </c>
      <c r="G18" s="390">
        <f>'Table 1 - Detailed'!G67</f>
        <v>0</v>
      </c>
      <c r="H18" s="390">
        <f>'Table 1 - Detailed'!H67</f>
        <v>0</v>
      </c>
      <c r="I18" s="391">
        <f>'Table 1 - Detailed'!I67</f>
        <v>0</v>
      </c>
      <c r="J18" s="392" t="s">
        <v>243</v>
      </c>
    </row>
    <row r="19" spans="1:10" outlineLevel="1" x14ac:dyDescent="0.3">
      <c r="A19" s="388" t="s">
        <v>39</v>
      </c>
      <c r="B19" s="340" t="s">
        <v>1</v>
      </c>
      <c r="C19" s="341" t="s">
        <v>40</v>
      </c>
      <c r="D19" s="389">
        <f>'Table 1 - Detailed'!D68</f>
        <v>0</v>
      </c>
      <c r="E19" s="390">
        <f>'Table 1 - Detailed'!E68</f>
        <v>0</v>
      </c>
      <c r="F19" s="390">
        <f>'Table 1 - Detailed'!F68</f>
        <v>0</v>
      </c>
      <c r="G19" s="390">
        <f>'Table 1 - Detailed'!G68</f>
        <v>0</v>
      </c>
      <c r="H19" s="390">
        <f>'Table 1 - Detailed'!H68</f>
        <v>0</v>
      </c>
      <c r="I19" s="391">
        <f>'Table 1 - Detailed'!I68</f>
        <v>0</v>
      </c>
      <c r="J19" s="392" t="s">
        <v>244</v>
      </c>
    </row>
    <row r="20" spans="1:10" outlineLevel="1" x14ac:dyDescent="0.3">
      <c r="A20" s="393" t="s">
        <v>41</v>
      </c>
      <c r="B20" s="342" t="s">
        <v>1</v>
      </c>
      <c r="C20" s="343" t="s">
        <v>42</v>
      </c>
      <c r="D20" s="394">
        <f>'Table 1 - Detailed'!D69</f>
        <v>0</v>
      </c>
      <c r="E20" s="395">
        <f>'Table 1 - Detailed'!E69</f>
        <v>0</v>
      </c>
      <c r="F20" s="395">
        <f>'Table 1 - Detailed'!F69</f>
        <v>0</v>
      </c>
      <c r="G20" s="395">
        <f>'Table 1 - Detailed'!G69</f>
        <v>0</v>
      </c>
      <c r="H20" s="395">
        <f>'Table 1 - Detailed'!H69</f>
        <v>0</v>
      </c>
      <c r="I20" s="396">
        <f>'Table 1 - Detailed'!I69</f>
        <v>0</v>
      </c>
      <c r="J20" s="397" t="s">
        <v>245</v>
      </c>
    </row>
    <row r="21" spans="1:10" x14ac:dyDescent="0.3">
      <c r="A21" s="381" t="s">
        <v>43</v>
      </c>
      <c r="B21" s="9" t="s">
        <v>1</v>
      </c>
      <c r="C21" s="53" t="s">
        <v>274</v>
      </c>
      <c r="D21" s="174">
        <f>SUM(D9:D17,D19)-D18-D20</f>
        <v>28.922570914381595</v>
      </c>
      <c r="E21" s="131">
        <f>SUM(E9:E17,E19)-E18-E20</f>
        <v>23.981241564464202</v>
      </c>
      <c r="F21" s="131">
        <f t="shared" ref="F21:I21" si="0">SUM(F9:F17,F19)-F18-F20</f>
        <v>23.530005636195764</v>
      </c>
      <c r="G21" s="131">
        <f t="shared" si="0"/>
        <v>23.677799999999998</v>
      </c>
      <c r="H21" s="131">
        <f t="shared" si="0"/>
        <v>23.6706</v>
      </c>
      <c r="I21" s="132">
        <f t="shared" si="0"/>
        <v>23.6706</v>
      </c>
      <c r="J21" s="185" t="s">
        <v>310</v>
      </c>
    </row>
    <row r="22" spans="1:10" x14ac:dyDescent="0.3">
      <c r="A22" s="1" t="s">
        <v>44</v>
      </c>
      <c r="B22" s="11" t="s">
        <v>1</v>
      </c>
      <c r="C22" s="55"/>
      <c r="D22" s="174">
        <f>D6+D7+D8+D21</f>
        <v>206.34770280522574</v>
      </c>
      <c r="E22" s="131">
        <f>E6+E7+E8+E21</f>
        <v>206.38904155953156</v>
      </c>
      <c r="F22" s="131">
        <f t="shared" ref="F22:I22" si="1">F6+F7+F8+F21</f>
        <v>209.59215345702637</v>
      </c>
      <c r="G22" s="131">
        <f t="shared" si="1"/>
        <v>209.43179284945302</v>
      </c>
      <c r="H22" s="131">
        <f t="shared" si="1"/>
        <v>212.8425175558809</v>
      </c>
      <c r="I22" s="132">
        <f t="shared" si="1"/>
        <v>212.8425175558809</v>
      </c>
      <c r="J22" s="187" t="s">
        <v>182</v>
      </c>
    </row>
    <row r="23" spans="1:10" x14ac:dyDescent="0.3">
      <c r="A23" s="381" t="s">
        <v>45</v>
      </c>
      <c r="B23" s="9" t="s">
        <v>1</v>
      </c>
      <c r="C23" s="53" t="s">
        <v>275</v>
      </c>
      <c r="D23" s="197">
        <f>'Table 1 - Detailed'!D72</f>
        <v>0</v>
      </c>
      <c r="E23" s="140">
        <f>'Table 1 - Detailed'!E72</f>
        <v>0</v>
      </c>
      <c r="F23" s="140">
        <f>'Table 1 - Detailed'!F72</f>
        <v>0</v>
      </c>
      <c r="G23" s="140">
        <f>'Table 1 - Detailed'!G72</f>
        <v>0</v>
      </c>
      <c r="H23" s="140">
        <f>'Table 1 - Detailed'!H72</f>
        <v>0</v>
      </c>
      <c r="I23" s="141">
        <f>'Table 1 - Detailed'!I72</f>
        <v>0</v>
      </c>
      <c r="J23" s="185" t="s">
        <v>46</v>
      </c>
    </row>
    <row r="24" spans="1:10" x14ac:dyDescent="0.3">
      <c r="A24" s="381" t="s">
        <v>47</v>
      </c>
      <c r="B24" s="9" t="s">
        <v>1</v>
      </c>
      <c r="C24" s="53" t="s">
        <v>276</v>
      </c>
      <c r="D24" s="197">
        <f>'Table 1 - Detailed'!D73</f>
        <v>2.9931463400196021</v>
      </c>
      <c r="E24" s="140">
        <f>'Table 1 - Detailed'!E73</f>
        <v>0</v>
      </c>
      <c r="F24" s="140">
        <f>'Table 1 - Detailed'!F73</f>
        <v>0</v>
      </c>
      <c r="G24" s="140">
        <f>'Table 1 - Detailed'!G73</f>
        <v>0</v>
      </c>
      <c r="H24" s="140">
        <f>'Table 1 - Detailed'!H73</f>
        <v>0</v>
      </c>
      <c r="I24" s="141">
        <f>'Table 1 - Detailed'!I73</f>
        <v>0</v>
      </c>
      <c r="J24" s="185" t="s">
        <v>48</v>
      </c>
    </row>
    <row r="25" spans="1:10" x14ac:dyDescent="0.3">
      <c r="A25" s="381" t="s">
        <v>49</v>
      </c>
      <c r="B25" s="9" t="s">
        <v>1</v>
      </c>
      <c r="C25" s="53" t="s">
        <v>277</v>
      </c>
      <c r="D25" s="197">
        <f>'Table 1 - Detailed'!D74</f>
        <v>0.69</v>
      </c>
      <c r="E25" s="140">
        <f>'Table 1 - Detailed'!E74</f>
        <v>0</v>
      </c>
      <c r="F25" s="140">
        <f>'Table 1 - Detailed'!F74</f>
        <v>0</v>
      </c>
      <c r="G25" s="140">
        <f>'Table 1 - Detailed'!G74</f>
        <v>0</v>
      </c>
      <c r="H25" s="140">
        <f>'Table 1 - Detailed'!H74</f>
        <v>0</v>
      </c>
      <c r="I25" s="141">
        <f>'Table 1 - Detailed'!I74</f>
        <v>0</v>
      </c>
      <c r="J25" s="185" t="s">
        <v>50</v>
      </c>
    </row>
    <row r="26" spans="1:10" x14ac:dyDescent="0.3">
      <c r="A26" s="381" t="s">
        <v>51</v>
      </c>
      <c r="B26" s="9" t="s">
        <v>1</v>
      </c>
      <c r="C26" s="53" t="s">
        <v>278</v>
      </c>
      <c r="D26" s="197">
        <f>'Table 1 - Detailed'!D83</f>
        <v>1.0887035942536887</v>
      </c>
      <c r="E26" s="140">
        <f>'Table 1 - Detailed'!E83</f>
        <v>1.2099837717661077</v>
      </c>
      <c r="F26" s="140">
        <f>'Table 1 - Detailed'!F83</f>
        <v>1.2499181585098156</v>
      </c>
      <c r="G26" s="140">
        <f>'Table 1 - Detailed'!G83</f>
        <v>1.2898525452535234</v>
      </c>
      <c r="H26" s="140">
        <f>'Table 1 - Detailed'!H83</f>
        <v>1.3297869319972311</v>
      </c>
      <c r="I26" s="141">
        <f>'Table 1 - Detailed'!I83</f>
        <v>1.3297869319972311</v>
      </c>
      <c r="J26" s="185" t="s">
        <v>52</v>
      </c>
    </row>
    <row r="27" spans="1:10" x14ac:dyDescent="0.3">
      <c r="A27" s="381" t="s">
        <v>53</v>
      </c>
      <c r="B27" s="9" t="s">
        <v>1</v>
      </c>
      <c r="C27" s="53" t="s">
        <v>279</v>
      </c>
      <c r="D27" s="197">
        <f>'Table 1 - Detailed'!D84</f>
        <v>0.28237825891316076</v>
      </c>
      <c r="E27" s="140">
        <f>'Table 1 - Detailed'!E84</f>
        <v>0.28237825891316076</v>
      </c>
      <c r="F27" s="140">
        <f>'Table 1 - Detailed'!F84</f>
        <v>0.28237825891316076</v>
      </c>
      <c r="G27" s="140">
        <f>'Table 1 - Detailed'!G84</f>
        <v>0.28237825891316076</v>
      </c>
      <c r="H27" s="140">
        <f>'Table 1 - Detailed'!H84</f>
        <v>0.28237825891316076</v>
      </c>
      <c r="I27" s="141">
        <f>'Table 1 - Detailed'!I84</f>
        <v>0.28237825891316076</v>
      </c>
      <c r="J27" s="185" t="s">
        <v>54</v>
      </c>
    </row>
    <row r="28" spans="1:10" ht="15" thickBot="1" x14ac:dyDescent="0.35">
      <c r="A28" s="381" t="s">
        <v>55</v>
      </c>
      <c r="B28" s="9" t="s">
        <v>1</v>
      </c>
      <c r="C28" s="53" t="s">
        <v>280</v>
      </c>
      <c r="D28" s="197">
        <f>'Table 1 - Detailed'!D85</f>
        <v>9.3704416430449909E-4</v>
      </c>
      <c r="E28" s="140">
        <f>'Table 1 - Detailed'!E85</f>
        <v>0</v>
      </c>
      <c r="F28" s="140">
        <f>'Table 1 - Detailed'!F85</f>
        <v>0</v>
      </c>
      <c r="G28" s="140">
        <f>'Table 1 - Detailed'!G85</f>
        <v>0</v>
      </c>
      <c r="H28" s="140">
        <f>'Table 1 - Detailed'!H85</f>
        <v>0</v>
      </c>
      <c r="I28" s="141">
        <f>'Table 1 - Detailed'!I85</f>
        <v>0</v>
      </c>
      <c r="J28" s="188" t="s">
        <v>56</v>
      </c>
    </row>
    <row r="29" spans="1:10" ht="15" thickBot="1" x14ac:dyDescent="0.35">
      <c r="A29" s="1" t="s">
        <v>57</v>
      </c>
      <c r="B29" s="11" t="s">
        <v>1</v>
      </c>
      <c r="C29" s="55"/>
      <c r="D29" s="174">
        <f t="shared" ref="D29:I29" si="2">SUM(D22:D28)</f>
        <v>211.4028680425765</v>
      </c>
      <c r="E29" s="131">
        <f t="shared" si="2"/>
        <v>207.88140359021082</v>
      </c>
      <c r="F29" s="131">
        <f t="shared" si="2"/>
        <v>211.12444987444934</v>
      </c>
      <c r="G29" s="131">
        <f t="shared" si="2"/>
        <v>211.0040236536197</v>
      </c>
      <c r="H29" s="131">
        <f t="shared" si="2"/>
        <v>214.45468274679129</v>
      </c>
      <c r="I29" s="132">
        <f t="shared" si="2"/>
        <v>214.45468274679129</v>
      </c>
      <c r="J29" s="189" t="s">
        <v>183</v>
      </c>
    </row>
    <row r="30" spans="1:10" x14ac:dyDescent="0.3">
      <c r="A30" s="380" t="s">
        <v>58</v>
      </c>
      <c r="B30" s="9" t="s">
        <v>1</v>
      </c>
      <c r="C30" s="181" t="s">
        <v>281</v>
      </c>
      <c r="D30" s="198">
        <f>'Table 1 - Detailed'!D87</f>
        <v>11.663134936908554</v>
      </c>
      <c r="E30" s="142">
        <f>'Table 1 - Detailed'!E87</f>
        <v>10.051602166739425</v>
      </c>
      <c r="F30" s="142">
        <f>'Table 1 - Detailed'!F87</f>
        <v>9.5189112360020065</v>
      </c>
      <c r="G30" s="142">
        <f>'Table 1 - Detailed'!G87</f>
        <v>9.9679689416692145</v>
      </c>
      <c r="H30" s="142">
        <f>'Table 1 - Detailed'!H87</f>
        <v>8.0774824783858907</v>
      </c>
      <c r="I30" s="143">
        <f>'Table 1 - Detailed'!I87</f>
        <v>8.0774824783858907</v>
      </c>
      <c r="J30" s="190" t="s">
        <v>59</v>
      </c>
    </row>
    <row r="31" spans="1:10" ht="15" thickBot="1" x14ac:dyDescent="0.35">
      <c r="A31" s="380" t="s">
        <v>60</v>
      </c>
      <c r="B31" s="28" t="s">
        <v>1</v>
      </c>
      <c r="C31" s="181" t="s">
        <v>282</v>
      </c>
      <c r="D31" s="198">
        <f>'Table 1 - Detailed'!D88</f>
        <v>0</v>
      </c>
      <c r="E31" s="142">
        <f>'Table 1 - Detailed'!E88</f>
        <v>0</v>
      </c>
      <c r="F31" s="142">
        <f>'Table 1 - Detailed'!F88</f>
        <v>0</v>
      </c>
      <c r="G31" s="142">
        <f>'Table 1 - Detailed'!G88</f>
        <v>0</v>
      </c>
      <c r="H31" s="142">
        <f>'Table 1 - Detailed'!H88</f>
        <v>0</v>
      </c>
      <c r="I31" s="143">
        <f>'Table 1 - Detailed'!I88</f>
        <v>0</v>
      </c>
      <c r="J31" s="188" t="s">
        <v>61</v>
      </c>
    </row>
    <row r="32" spans="1:10" ht="15" thickBot="1" x14ac:dyDescent="0.35">
      <c r="A32" s="378" t="s">
        <v>62</v>
      </c>
      <c r="B32" s="376" t="s">
        <v>1</v>
      </c>
      <c r="C32" s="379" t="s">
        <v>189</v>
      </c>
      <c r="D32" s="179">
        <f>SUM(D29:D31)</f>
        <v>223.06600297948506</v>
      </c>
      <c r="E32" s="137">
        <f>SUM(E29:E31)</f>
        <v>217.93300575695025</v>
      </c>
      <c r="F32" s="137">
        <f>'Table 1 - Detailed'!F89</f>
        <v>220.64336111045131</v>
      </c>
      <c r="G32" s="137">
        <f>'Table 1 - Detailed'!G89</f>
        <v>220.9719925952889</v>
      </c>
      <c r="H32" s="137">
        <f>'Table 1 - Detailed'!H89</f>
        <v>222.53216522517718</v>
      </c>
      <c r="I32" s="138">
        <f>'Table 1 - Detailed'!I89</f>
        <v>222.53216522517718</v>
      </c>
      <c r="J32" s="189" t="s">
        <v>190</v>
      </c>
    </row>
    <row r="33" spans="1:10" ht="15.6" x14ac:dyDescent="0.3">
      <c r="A33" s="167" t="s">
        <v>63</v>
      </c>
      <c r="B33" s="373" t="s">
        <v>10</v>
      </c>
      <c r="C33" s="377" t="s">
        <v>336</v>
      </c>
      <c r="D33" s="199">
        <f>'Table 1 - Detailed'!D90</f>
        <v>1.2806226704273584</v>
      </c>
      <c r="E33" s="148">
        <f>'Table 1 - Detailed'!E90</f>
        <v>1.321109844088743</v>
      </c>
      <c r="F33" s="148">
        <f>'Table 1 - Detailed'!F90</f>
        <v>1.3540446211486474</v>
      </c>
      <c r="G33" s="148">
        <f>'Table 1 - Detailed'!G90</f>
        <v>1.3841294022609805</v>
      </c>
      <c r="H33" s="148">
        <f>'Table 1 - Detailed'!H90</f>
        <v>1.4132802659144532</v>
      </c>
      <c r="I33" s="149">
        <f>'Table 1 - Detailed'!I90</f>
        <v>1.4415458712327422</v>
      </c>
      <c r="J33" s="243" t="s">
        <v>266</v>
      </c>
    </row>
    <row r="34" spans="1:10" ht="15" thickBot="1" x14ac:dyDescent="0.35">
      <c r="A34" s="214" t="s">
        <v>64</v>
      </c>
      <c r="B34" s="162" t="s">
        <v>10</v>
      </c>
      <c r="C34" s="224" t="s">
        <v>337</v>
      </c>
      <c r="D34" s="200">
        <f>'Table 1 - Detailed'!D91</f>
        <v>376.71650221738128</v>
      </c>
      <c r="E34" s="150">
        <f>'Table 1 - Detailed'!E91</f>
        <v>388.62647913610527</v>
      </c>
      <c r="F34" s="150">
        <f>'Table 1 - Detailed'!F91</f>
        <v>398.31479272122715</v>
      </c>
      <c r="G34" s="150">
        <f>'Table 1 - Detailed'!G91</f>
        <v>407.16473249843847</v>
      </c>
      <c r="H34" s="150">
        <f>'Table 1 - Detailed'!H91</f>
        <v>415.73994488983499</v>
      </c>
      <c r="I34" s="151">
        <f>'Table 1 - Detailed'!I91</f>
        <v>424.05474378763171</v>
      </c>
      <c r="J34" s="244" t="s">
        <v>185</v>
      </c>
    </row>
    <row r="35" spans="1:10" ht="15" thickBot="1" x14ac:dyDescent="0.35">
      <c r="A35" s="3"/>
      <c r="B35" s="12"/>
      <c r="C35" s="58"/>
      <c r="D35" s="176"/>
      <c r="E35" s="18"/>
      <c r="F35" s="12"/>
      <c r="G35" s="12"/>
      <c r="H35" s="12"/>
      <c r="I35" s="19"/>
      <c r="J35" s="191"/>
    </row>
    <row r="36" spans="1:10" ht="16.2" thickBot="1" x14ac:dyDescent="0.35">
      <c r="A36" s="429" t="s">
        <v>62</v>
      </c>
      <c r="B36" s="376" t="s">
        <v>65</v>
      </c>
      <c r="C36" s="379" t="s">
        <v>66</v>
      </c>
      <c r="D36" s="179">
        <f t="shared" ref="D36:I36" si="3">D32*D33</f>
        <v>285.66338041714528</v>
      </c>
      <c r="E36" s="137">
        <f t="shared" si="3"/>
        <v>287.91343925735566</v>
      </c>
      <c r="F36" s="137">
        <f t="shared" si="3"/>
        <v>298.76095630376523</v>
      </c>
      <c r="G36" s="137">
        <f t="shared" si="3"/>
        <v>305.85383202733505</v>
      </c>
      <c r="H36" s="137">
        <f t="shared" si="3"/>
        <v>314.50031764395743</v>
      </c>
      <c r="I36" s="138">
        <f t="shared" si="3"/>
        <v>320.79032399683661</v>
      </c>
      <c r="J36" s="189" t="s">
        <v>394</v>
      </c>
    </row>
    <row r="37" spans="1:10" x14ac:dyDescent="0.3">
      <c r="A37" s="430" t="s">
        <v>67</v>
      </c>
      <c r="B37" s="45" t="s">
        <v>65</v>
      </c>
      <c r="C37" s="51" t="s">
        <v>68</v>
      </c>
      <c r="D37" s="273">
        <f>D48</f>
        <v>0.46195206746633743</v>
      </c>
      <c r="E37" s="274">
        <f>E48</f>
        <v>19.761937375742903</v>
      </c>
      <c r="F37" s="274">
        <f t="shared" ref="F37:I37" si="4">F48</f>
        <v>-26.525303119052516</v>
      </c>
      <c r="G37" s="274">
        <f t="shared" si="4"/>
        <v>-10.070482081758451</v>
      </c>
      <c r="H37" s="274">
        <f t="shared" si="4"/>
        <v>-0.77430696344426797</v>
      </c>
      <c r="I37" s="275">
        <f t="shared" si="4"/>
        <v>0</v>
      </c>
      <c r="J37" s="252" t="s">
        <v>181</v>
      </c>
    </row>
    <row r="38" spans="1:10" x14ac:dyDescent="0.3">
      <c r="A38" s="8" t="s">
        <v>69</v>
      </c>
      <c r="B38" s="10" t="s">
        <v>65</v>
      </c>
      <c r="C38" s="54" t="s">
        <v>70</v>
      </c>
      <c r="D38" s="201">
        <f>'Table 1 - Detailed'!D95</f>
        <v>0</v>
      </c>
      <c r="E38" s="152">
        <f>'Table 1 - Detailed'!E95</f>
        <v>0</v>
      </c>
      <c r="F38" s="152">
        <f>'Table 1 - Detailed'!F95</f>
        <v>0</v>
      </c>
      <c r="G38" s="152">
        <f>'Table 1 - Detailed'!G95</f>
        <v>0</v>
      </c>
      <c r="H38" s="152">
        <f>'Table 1 - Detailed'!H95</f>
        <v>0</v>
      </c>
      <c r="I38" s="153">
        <f>'Table 1 - Detailed'!I95</f>
        <v>0</v>
      </c>
      <c r="J38" s="186" t="s">
        <v>186</v>
      </c>
    </row>
    <row r="39" spans="1:10" ht="15" thickBot="1" x14ac:dyDescent="0.35">
      <c r="A39" s="431" t="s">
        <v>71</v>
      </c>
      <c r="B39" s="14" t="s">
        <v>65</v>
      </c>
      <c r="C39" s="57" t="s">
        <v>72</v>
      </c>
      <c r="D39" s="202">
        <f>'Table 1 - Detailed'!D96</f>
        <v>-15.476988251258661</v>
      </c>
      <c r="E39" s="154">
        <f>'Table 1 - Detailed'!E96</f>
        <v>19.033344998711964</v>
      </c>
      <c r="F39" s="154">
        <f>'Table 1 - Detailed'!F96</f>
        <v>0.70889709876424756</v>
      </c>
      <c r="G39" s="154">
        <f>'Table 1 - Detailed'!G96</f>
        <v>0.77205666167030262</v>
      </c>
      <c r="H39" s="154">
        <f>'Table 1 - Detailed'!H96</f>
        <v>0.82072734041597273</v>
      </c>
      <c r="I39" s="155">
        <f>'Table 1 - Detailed'!I96</f>
        <v>0</v>
      </c>
      <c r="J39" s="192" t="s">
        <v>187</v>
      </c>
    </row>
    <row r="40" spans="1:10" ht="15" thickBot="1" x14ac:dyDescent="0.35">
      <c r="A40" s="378" t="s">
        <v>73</v>
      </c>
      <c r="B40" s="376" t="s">
        <v>65</v>
      </c>
      <c r="C40" s="379" t="s">
        <v>74</v>
      </c>
      <c r="D40" s="270">
        <f>SUM(D36:D39)</f>
        <v>270.64834423335293</v>
      </c>
      <c r="E40" s="271">
        <f t="shared" ref="E40:I40" si="5">SUM(E36:E39)</f>
        <v>326.70872163181053</v>
      </c>
      <c r="F40" s="271">
        <f t="shared" si="5"/>
        <v>272.94455028347693</v>
      </c>
      <c r="G40" s="271">
        <f t="shared" si="5"/>
        <v>296.55540660724694</v>
      </c>
      <c r="H40" s="271">
        <f t="shared" si="5"/>
        <v>314.54673802092918</v>
      </c>
      <c r="I40" s="272">
        <f t="shared" si="5"/>
        <v>320.79032399683661</v>
      </c>
      <c r="J40" s="398" t="s">
        <v>188</v>
      </c>
    </row>
    <row r="41" spans="1:10" ht="15" thickBot="1" x14ac:dyDescent="0.35">
      <c r="A41" s="3"/>
      <c r="B41" s="12"/>
      <c r="C41" s="58"/>
      <c r="D41" s="176"/>
      <c r="E41" s="18"/>
      <c r="F41" s="12"/>
      <c r="G41" s="12"/>
      <c r="H41" s="12"/>
      <c r="I41" s="19"/>
      <c r="J41" s="191"/>
    </row>
    <row r="42" spans="1:10" ht="15" thickBot="1" x14ac:dyDescent="0.35">
      <c r="A42" s="378" t="s">
        <v>75</v>
      </c>
      <c r="B42" s="376" t="s">
        <v>65</v>
      </c>
      <c r="C42" s="379" t="s">
        <v>76</v>
      </c>
      <c r="D42" s="217">
        <f>'Table 1 - Detailed'!D99</f>
        <v>252.22409897166668</v>
      </c>
      <c r="E42" s="119">
        <f>'Table 1 - Detailed'!E99</f>
        <v>351.56071157497553</v>
      </c>
      <c r="F42" s="119">
        <f>'Table 1 - Detailed'!F99</f>
        <v>282.40877300148071</v>
      </c>
      <c r="G42" s="119">
        <f>'Table 1 - Detailed'!G99</f>
        <v>297.28379570782431</v>
      </c>
      <c r="H42" s="119">
        <f>'Table 1 - Detailed'!H99</f>
        <v>314.5467380209293</v>
      </c>
      <c r="I42" s="120">
        <f>'Table 1 - Detailed'!I99</f>
        <v>320.79032399683661</v>
      </c>
      <c r="J42" s="398" t="s">
        <v>191</v>
      </c>
    </row>
    <row r="43" spans="1:10" ht="15" thickBot="1" x14ac:dyDescent="0.35">
      <c r="A43" s="246" t="s">
        <v>77</v>
      </c>
      <c r="B43" s="247" t="s">
        <v>65</v>
      </c>
      <c r="C43" s="248"/>
      <c r="D43" s="249">
        <f>D40-D42</f>
        <v>18.424245261686252</v>
      </c>
      <c r="E43" s="233">
        <f t="shared" ref="E43:I43" si="6">E40-E42</f>
        <v>-24.851989943164995</v>
      </c>
      <c r="F43" s="233">
        <f t="shared" si="6"/>
        <v>-9.4642227180037821</v>
      </c>
      <c r="G43" s="233">
        <f t="shared" si="6"/>
        <v>-0.72838910057737394</v>
      </c>
      <c r="H43" s="233">
        <f t="shared" si="6"/>
        <v>0</v>
      </c>
      <c r="I43" s="234">
        <f t="shared" si="6"/>
        <v>0</v>
      </c>
      <c r="J43" s="250" t="s">
        <v>192</v>
      </c>
    </row>
    <row r="44" spans="1:10" ht="15" thickBot="1" x14ac:dyDescent="0.35">
      <c r="A44" s="3"/>
      <c r="B44" s="12"/>
      <c r="C44" s="58"/>
      <c r="D44" s="43"/>
      <c r="E44" s="12"/>
      <c r="F44" s="12"/>
      <c r="G44" s="12"/>
      <c r="H44" s="12"/>
      <c r="I44" s="19"/>
      <c r="J44" s="191"/>
    </row>
    <row r="45" spans="1:10" x14ac:dyDescent="0.3">
      <c r="A45" s="432" t="s">
        <v>78</v>
      </c>
      <c r="B45" s="13" t="s">
        <v>8</v>
      </c>
      <c r="C45" s="56" t="s">
        <v>79</v>
      </c>
      <c r="D45" s="203">
        <f>'Table 1 - Detailed'!D102</f>
        <v>3.97335776E-2</v>
      </c>
      <c r="E45" s="156">
        <f>'Table 1 - Detailed'!E102</f>
        <v>4.1370183200000001E-2</v>
      </c>
      <c r="F45" s="156">
        <f>'Table 1 - Detailed'!F102</f>
        <v>4.09301584E-2</v>
      </c>
      <c r="G45" s="156">
        <f>'Table 1 - Detailed'!G102</f>
        <v>4.1113614800000003E-2</v>
      </c>
      <c r="H45" s="156">
        <f>'Table 1 - Detailed'!H102</f>
        <v>4.1190859599999997E-2</v>
      </c>
      <c r="I45" s="157">
        <f>'Table 1 - Detailed'!I102</f>
        <v>4.1190859599999997E-2</v>
      </c>
      <c r="J45" s="193" t="s">
        <v>193</v>
      </c>
    </row>
    <row r="46" spans="1:10" ht="15.6" x14ac:dyDescent="0.3">
      <c r="A46" s="8" t="s">
        <v>80</v>
      </c>
      <c r="B46" s="10" t="s">
        <v>81</v>
      </c>
      <c r="C46" s="54" t="s">
        <v>82</v>
      </c>
      <c r="D46" s="204">
        <f>'Table 1 - Detailed'!D103</f>
        <v>3.1615224840486178E-2</v>
      </c>
      <c r="E46" s="158">
        <f>'Table 1 - Detailed'!E103</f>
        <v>2.4929628075416987E-2</v>
      </c>
      <c r="F46" s="158">
        <f>'Table 1 - Detailed'!F103</f>
        <v>2.2218456203320525E-2</v>
      </c>
      <c r="G46" s="158">
        <f>'Table 1 - Detailed'!G103</f>
        <v>2.106079359766122E-2</v>
      </c>
      <c r="H46" s="158">
        <f>'Table 1 - Detailed'!H103</f>
        <v>2.106079359766122E-2</v>
      </c>
      <c r="I46" s="159">
        <f>'Table 1 - Detailed'!I103</f>
        <v>2.0000000000000018E-2</v>
      </c>
      <c r="J46" s="194" t="s">
        <v>265</v>
      </c>
    </row>
    <row r="47" spans="1:10" ht="15" thickBot="1" x14ac:dyDescent="0.35">
      <c r="A47" s="431" t="s">
        <v>83</v>
      </c>
      <c r="B47" s="14" t="s">
        <v>84</v>
      </c>
      <c r="C47" s="57" t="s">
        <v>85</v>
      </c>
      <c r="D47" s="238">
        <f>(1+D45)*(1+D46)-1</f>
        <v>7.2604988430027051E-2</v>
      </c>
      <c r="E47" s="239">
        <f t="shared" ref="E47:G47" si="7">(1+E45)*(1+E46)-1</f>
        <v>6.7331154556004913E-2</v>
      </c>
      <c r="F47" s="239">
        <f t="shared" si="7"/>
        <v>6.405801953512591E-2</v>
      </c>
      <c r="G47" s="239">
        <f t="shared" si="7"/>
        <v>6.3040293753017673E-2</v>
      </c>
      <c r="H47" s="239">
        <f>(1+H45)*(1+H46)-1</f>
        <v>6.3119165389806886E-2</v>
      </c>
      <c r="I47" s="240">
        <f>(1+I45)*(1+I46)-1</f>
        <v>6.2014676792000012E-2</v>
      </c>
      <c r="J47" s="245" t="s">
        <v>262</v>
      </c>
    </row>
    <row r="48" spans="1:10" ht="15" thickBot="1" x14ac:dyDescent="0.35">
      <c r="A48" s="378" t="s">
        <v>86</v>
      </c>
      <c r="B48" s="376" t="s">
        <v>65</v>
      </c>
      <c r="C48" s="379" t="s">
        <v>68</v>
      </c>
      <c r="D48" s="217">
        <f>'Table 1 - Detailed'!D105</f>
        <v>0.46195206746633743</v>
      </c>
      <c r="E48" s="119">
        <f>'Table 1 - Detailed'!E105</f>
        <v>19.761937375742903</v>
      </c>
      <c r="F48" s="119">
        <f>'Table 1 - Detailed'!F105</f>
        <v>-26.525303119052516</v>
      </c>
      <c r="G48" s="119">
        <f>'Table 1 - Detailed'!G105</f>
        <v>-10.070482081758451</v>
      </c>
      <c r="H48" s="119">
        <f>'Table 1 - Detailed'!H105</f>
        <v>-0.77430696344426797</v>
      </c>
      <c r="I48" s="120">
        <f>'Table 1 - Detailed'!I105</f>
        <v>0</v>
      </c>
      <c r="J48" s="398" t="s">
        <v>194</v>
      </c>
    </row>
    <row r="49" spans="1:10" ht="15" thickBot="1" x14ac:dyDescent="0.35"/>
    <row r="50" spans="1:10" x14ac:dyDescent="0.3">
      <c r="A50" s="255" t="s">
        <v>405</v>
      </c>
      <c r="B50" s="256"/>
      <c r="C50" s="264"/>
      <c r="D50" s="467">
        <f>'[2]General inputs'!$H$83/1000000</f>
        <v>14.032157778684661</v>
      </c>
      <c r="E50" s="468">
        <f>'[3]General inputs'!$H$83/1000000</f>
        <v>20.12167206321109</v>
      </c>
      <c r="F50" s="468">
        <f>'[4]General inputs'!$H$83/1000000</f>
        <v>18.796904457716803</v>
      </c>
      <c r="G50" s="468">
        <f>F50*G40/F40</f>
        <v>20.422916078105803</v>
      </c>
      <c r="H50" s="468"/>
      <c r="I50" s="469"/>
      <c r="J50" s="257" t="s">
        <v>180</v>
      </c>
    </row>
    <row r="51" spans="1:10" ht="15" thickBot="1" x14ac:dyDescent="0.35">
      <c r="A51" s="258" t="s">
        <v>141</v>
      </c>
      <c r="B51" s="259"/>
      <c r="C51" s="265"/>
      <c r="D51" s="276">
        <f>D40-D50</f>
        <v>256.61618645466825</v>
      </c>
      <c r="E51" s="277">
        <f>E40-E50</f>
        <v>306.58704956859947</v>
      </c>
      <c r="F51" s="277">
        <f t="shared" ref="F51:H51" si="8">F40-F50</f>
        <v>254.14764582576012</v>
      </c>
      <c r="G51" s="277">
        <f t="shared" si="8"/>
        <v>276.13249052914114</v>
      </c>
      <c r="H51" s="277">
        <f t="shared" si="8"/>
        <v>314.54673802092918</v>
      </c>
      <c r="I51" s="278">
        <f>I40-I50</f>
        <v>320.79032399683661</v>
      </c>
      <c r="J51" s="260" t="s">
        <v>263</v>
      </c>
    </row>
    <row r="52" spans="1:10" ht="15" thickBot="1" x14ac:dyDescent="0.35"/>
    <row r="53" spans="1:10" ht="15" hidden="1" thickBot="1" x14ac:dyDescent="0.35">
      <c r="A53" t="s">
        <v>124</v>
      </c>
      <c r="D53" s="24">
        <f>D40-'Table 1 - Detailed'!D97</f>
        <v>0</v>
      </c>
      <c r="E53" s="24">
        <f>E40-'Table 1 - Detailed'!E97</f>
        <v>0</v>
      </c>
      <c r="F53" s="24">
        <f>F40-'Table 1 - Detailed'!F97</f>
        <v>0</v>
      </c>
      <c r="G53" s="24">
        <f>G40-'Table 1 - Detailed'!G97</f>
        <v>0</v>
      </c>
      <c r="H53" s="24">
        <f>H40-'Table 1 - Detailed'!H97</f>
        <v>0</v>
      </c>
      <c r="I53" s="24">
        <f>I40-'Table 1 - Detailed'!I97</f>
        <v>0</v>
      </c>
    </row>
    <row r="54" spans="1:10" ht="15" hidden="1" thickBot="1" x14ac:dyDescent="0.35"/>
    <row r="55" spans="1:10" ht="15" thickBot="1" x14ac:dyDescent="0.35">
      <c r="A55" s="261" t="s">
        <v>175</v>
      </c>
      <c r="B55" s="262"/>
      <c r="C55" s="266"/>
      <c r="D55" s="470">
        <f>'[2]General inputs'!$H$88/1000000</f>
        <v>244.56427401232528</v>
      </c>
      <c r="E55" s="471">
        <f>'[3]General inputs'!$H$88/1000000</f>
        <v>330.95362575279989</v>
      </c>
      <c r="F55" s="471">
        <f>'[4]General inputs'!$H$88/1000000</f>
        <v>259.9089185551843</v>
      </c>
      <c r="G55" s="471"/>
      <c r="H55" s="471"/>
      <c r="I55" s="471"/>
      <c r="J55" s="263" t="s">
        <v>179</v>
      </c>
    </row>
  </sheetData>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79998168889431442"/>
  </sheetPr>
  <dimension ref="A1:P107"/>
  <sheetViews>
    <sheetView zoomScale="75" zoomScaleNormal="75" workbookViewId="0">
      <pane xSplit="3" ySplit="5" topLeftCell="D6" activePane="bottomRight" state="frozen"/>
      <selection activeCell="I40" sqref="I40"/>
      <selection pane="topRight" activeCell="I40" sqref="I40"/>
      <selection pane="bottomLeft" activeCell="I40" sqref="I40"/>
      <selection pane="bottomRight" activeCell="N21" sqref="N21"/>
    </sheetView>
  </sheetViews>
  <sheetFormatPr defaultRowHeight="14.4" outlineLevelRow="1" x14ac:dyDescent="0.3"/>
  <cols>
    <col min="1" max="1" width="86.6640625" style="7" bestFit="1" customWidth="1"/>
    <col min="2" max="2" width="19.88671875" style="15" bestFit="1" customWidth="1"/>
    <col min="3" max="3" width="19.6640625" style="15" bestFit="1" customWidth="1"/>
    <col min="4" max="5" width="11.44140625" style="15" bestFit="1" customWidth="1"/>
    <col min="6" max="7" width="11.6640625" style="15" bestFit="1" customWidth="1"/>
    <col min="8" max="8" width="11.44140625" style="15" customWidth="1"/>
    <col min="9" max="9" width="11.6640625" style="15" bestFit="1" customWidth="1"/>
    <col min="10" max="11" width="11.44140625" style="15" bestFit="1" customWidth="1"/>
    <col min="12" max="13" width="11.6640625" style="15" bestFit="1" customWidth="1"/>
    <col min="14" max="14" width="11.44140625" style="15" customWidth="1"/>
    <col min="15" max="15" width="11.6640625" style="15" bestFit="1" customWidth="1"/>
    <col min="16" max="16" width="67" style="61" customWidth="1"/>
  </cols>
  <sheetData>
    <row r="1" spans="1:16" x14ac:dyDescent="0.3">
      <c r="A1" s="64" t="s">
        <v>305</v>
      </c>
      <c r="B1" s="65" t="str">
        <f>IF(Cover!C5="","Enter Company Name",Cover!C5)</f>
        <v>NGED South Wales</v>
      </c>
      <c r="J1" s="41"/>
      <c r="K1"/>
      <c r="L1"/>
      <c r="M1"/>
      <c r="N1"/>
      <c r="O1"/>
      <c r="P1"/>
    </row>
    <row r="2" spans="1:16" ht="15" thickBot="1" x14ac:dyDescent="0.35">
      <c r="A2" s="64" t="s">
        <v>306</v>
      </c>
      <c r="B2" s="66">
        <f>IF(Cover!C6="","Enter Date",Cover!C6)</f>
        <v>45689</v>
      </c>
      <c r="J2" s="41"/>
      <c r="K2"/>
      <c r="L2"/>
      <c r="M2"/>
      <c r="N2"/>
      <c r="O2"/>
      <c r="P2"/>
    </row>
    <row r="3" spans="1:16" ht="15" thickBot="1" x14ac:dyDescent="0.35">
      <c r="A3" s="64" t="s">
        <v>307</v>
      </c>
      <c r="B3" s="65" t="s">
        <v>320</v>
      </c>
      <c r="D3" s="518" t="s">
        <v>321</v>
      </c>
      <c r="E3" s="519"/>
      <c r="F3" s="519"/>
      <c r="G3" s="519"/>
      <c r="H3" s="519"/>
      <c r="I3" s="520"/>
      <c r="J3" s="518" t="s">
        <v>318</v>
      </c>
      <c r="K3" s="519"/>
      <c r="L3" s="519"/>
      <c r="M3" s="519"/>
      <c r="N3" s="519"/>
      <c r="O3" s="520"/>
      <c r="P3"/>
    </row>
    <row r="4" spans="1:16" x14ac:dyDescent="0.3">
      <c r="A4" s="100" t="s">
        <v>87</v>
      </c>
      <c r="B4" s="101"/>
      <c r="C4" s="101"/>
      <c r="D4" s="102" t="str">
        <f>IF(Cover!$C$6="","Reg Year",LEFT(E4,4)-1&amp;"/"&amp;RIGHT(E4,2)-1)</f>
        <v>2023/24</v>
      </c>
      <c r="E4" s="102" t="str">
        <f>IF(Cover!$C$6="","Reg Year",Cover!C8)</f>
        <v>2024/25</v>
      </c>
      <c r="F4" s="102" t="str">
        <f>IF(Cover!$C$6="","Reg Year",LEFT(E4,4)+1&amp;"/"&amp;RIGHT(E4,2)+1)</f>
        <v>2025/26</v>
      </c>
      <c r="G4" s="102" t="str">
        <f>IF(Cover!$C$6="","Reg Year",LEFT(F4,4)+1&amp;"/"&amp;RIGHT(F4,2)+1)</f>
        <v>2026/27</v>
      </c>
      <c r="H4" s="102" t="str">
        <f>IF(Cover!$C$6="","Reg Year",LEFT(G4,4)+1&amp;"/"&amp;RIGHT(G4,2)+1)</f>
        <v>2027/28</v>
      </c>
      <c r="I4" s="108" t="str">
        <f>IF(Cover!$C$6="","Reg Year",LEFT(H4,4)+1&amp;"/"&amp;RIGHT(H4,2)+1)</f>
        <v>2028/29</v>
      </c>
      <c r="J4" s="102" t="str">
        <f>D4</f>
        <v>2023/24</v>
      </c>
      <c r="K4" s="102" t="str">
        <f t="shared" ref="K4:O4" si="0">E4</f>
        <v>2024/25</v>
      </c>
      <c r="L4" s="102" t="str">
        <f t="shared" si="0"/>
        <v>2025/26</v>
      </c>
      <c r="M4" s="102" t="str">
        <f t="shared" si="0"/>
        <v>2026/27</v>
      </c>
      <c r="N4" s="102" t="str">
        <f t="shared" si="0"/>
        <v>2027/28</v>
      </c>
      <c r="O4" s="108" t="str">
        <f t="shared" si="0"/>
        <v>2028/29</v>
      </c>
      <c r="P4" s="110" t="s">
        <v>319</v>
      </c>
    </row>
    <row r="5" spans="1:16" ht="15" thickBot="1" x14ac:dyDescent="0.35">
      <c r="A5" s="104"/>
      <c r="B5" s="105"/>
      <c r="C5" s="105"/>
      <c r="D5" s="106" t="s">
        <v>313</v>
      </c>
      <c r="E5" s="106" t="s">
        <v>312</v>
      </c>
      <c r="F5" s="106" t="s">
        <v>314</v>
      </c>
      <c r="G5" s="106" t="s">
        <v>315</v>
      </c>
      <c r="H5" s="106" t="s">
        <v>316</v>
      </c>
      <c r="I5" s="109" t="s">
        <v>317</v>
      </c>
      <c r="J5" s="106" t="s">
        <v>313</v>
      </c>
      <c r="K5" s="106" t="s">
        <v>312</v>
      </c>
      <c r="L5" s="106" t="s">
        <v>314</v>
      </c>
      <c r="M5" s="106" t="s">
        <v>315</v>
      </c>
      <c r="N5" s="106" t="s">
        <v>316</v>
      </c>
      <c r="O5" s="109" t="s">
        <v>317</v>
      </c>
      <c r="P5" s="111"/>
    </row>
    <row r="6" spans="1:16" outlineLevel="1" x14ac:dyDescent="0.3">
      <c r="A6" s="360" t="s">
        <v>88</v>
      </c>
      <c r="B6" s="319" t="s">
        <v>1</v>
      </c>
      <c r="C6" s="294"/>
      <c r="D6" s="452">
        <f>'[5]Table 1 - Detailed'!D6</f>
        <v>24.925745653041318</v>
      </c>
      <c r="E6" s="452">
        <f>'[5]Table 1 - Detailed'!E6</f>
        <v>20.531765158151693</v>
      </c>
      <c r="F6" s="452">
        <f>'[5]Table 1 - Detailed'!F6</f>
        <v>26.177469955998681</v>
      </c>
      <c r="G6" s="452">
        <f>'[5]Table 1 - Detailed'!G6</f>
        <v>27.630274611070547</v>
      </c>
      <c r="H6" s="452">
        <f>'[5]Table 1 - Detailed'!H6</f>
        <v>21.002241543734968</v>
      </c>
      <c r="I6" s="452">
        <f>'[5]Table 1 - Detailed'!I6</f>
        <v>21.002241543734968</v>
      </c>
      <c r="J6" s="295">
        <f>'Table 1 - Detailed'!D6-D6</f>
        <v>-0.98344685572697443</v>
      </c>
      <c r="K6" s="295">
        <f>'Table 1 - Detailed'!E6-E6</f>
        <v>-0.89962653693669026</v>
      </c>
      <c r="L6" s="295">
        <f>'Table 1 - Detailed'!F6-F6</f>
        <v>-0.92638699854427387</v>
      </c>
      <c r="M6" s="295">
        <f>'Table 1 - Detailed'!G6-G6</f>
        <v>-0.88864900157184579</v>
      </c>
      <c r="N6" s="295">
        <f>'Table 1 - Detailed'!H6-H6</f>
        <v>-0.89597385328848844</v>
      </c>
      <c r="O6" s="296">
        <f>'Table 1 - Detailed'!I6-I6</f>
        <v>-0.89597385328848844</v>
      </c>
      <c r="P6" s="297"/>
    </row>
    <row r="7" spans="1:16" outlineLevel="1" x14ac:dyDescent="0.3">
      <c r="A7" s="361" t="s">
        <v>89</v>
      </c>
      <c r="B7" s="323" t="s">
        <v>1</v>
      </c>
      <c r="C7" s="298"/>
      <c r="D7" s="452">
        <f>'[5]Table 1 - Detailed'!D7</f>
        <v>55.396684691968588</v>
      </c>
      <c r="E7" s="452">
        <f>'[5]Table 1 - Detailed'!E7</f>
        <v>54.41830486850732</v>
      </c>
      <c r="F7" s="452">
        <f>'[5]Table 1 - Detailed'!F7</f>
        <v>59.181420261797356</v>
      </c>
      <c r="G7" s="452">
        <f>'[5]Table 1 - Detailed'!G7</f>
        <v>49.151518171844316</v>
      </c>
      <c r="H7" s="452">
        <f>'[5]Table 1 - Detailed'!H7</f>
        <v>48.769756868626885</v>
      </c>
      <c r="I7" s="452">
        <f>'[5]Table 1 - Detailed'!I7</f>
        <v>48.769756868626885</v>
      </c>
      <c r="J7" s="299">
        <f>'Table 1 - Detailed'!D7-D7</f>
        <v>-2.182629260892007</v>
      </c>
      <c r="K7" s="299">
        <f>'Table 1 - Detailed'!E7-E7</f>
        <v>-1.9966012316359354</v>
      </c>
      <c r="L7" s="299">
        <f>'Table 1 - Detailed'!F7-F7</f>
        <v>-2.0559925105846162</v>
      </c>
      <c r="M7" s="299">
        <f>'Table 1 - Detailed'!G7-G7</f>
        <v>-1.9722380545509068</v>
      </c>
      <c r="N7" s="299">
        <f>'Table 1 - Detailed'!H7-H7</f>
        <v>-1.9884945869657855</v>
      </c>
      <c r="O7" s="300">
        <f>'Table 1 - Detailed'!I7-I7</f>
        <v>-1.9884945869657855</v>
      </c>
      <c r="P7" s="301"/>
    </row>
    <row r="8" spans="1:16" outlineLevel="1" x14ac:dyDescent="0.3">
      <c r="A8" s="361" t="s">
        <v>90</v>
      </c>
      <c r="B8" s="323" t="s">
        <v>1</v>
      </c>
      <c r="C8" s="298"/>
      <c r="D8" s="452">
        <f>'[5]Table 1 - Detailed'!D8</f>
        <v>21.347782740069942</v>
      </c>
      <c r="E8" s="452">
        <f>'[5]Table 1 - Detailed'!E8</f>
        <v>22.149296563540041</v>
      </c>
      <c r="F8" s="452">
        <f>'[5]Table 1 - Detailed'!F8</f>
        <v>24.393150838821555</v>
      </c>
      <c r="G8" s="452">
        <f>'[5]Table 1 - Detailed'!G8</f>
        <v>17.561564677127311</v>
      </c>
      <c r="H8" s="452">
        <f>'[5]Table 1 - Detailed'!H8</f>
        <v>16.734304014985174</v>
      </c>
      <c r="I8" s="452">
        <f>'[5]Table 1 - Detailed'!I8</f>
        <v>16.734304014985174</v>
      </c>
      <c r="J8" s="299">
        <f>'Table 1 - Detailed'!D8-D8</f>
        <v>-0.80304722043632992</v>
      </c>
      <c r="K8" s="299">
        <f>'Table 1 - Detailed'!E8-E8</f>
        <v>-0.73460257228006043</v>
      </c>
      <c r="L8" s="299">
        <f>'Table 1 - Detailed'!F8-F8</f>
        <v>-0.75645419973345795</v>
      </c>
      <c r="M8" s="299">
        <f>'Table 1 - Detailed'!G8-G8</f>
        <v>-0.72563871296153692</v>
      </c>
      <c r="N8" s="299">
        <f>'Table 1 - Detailed'!H8-H8</f>
        <v>-0.73161992259874964</v>
      </c>
      <c r="O8" s="300">
        <f>'Table 1 - Detailed'!I8-I8</f>
        <v>-0.73161992259874964</v>
      </c>
      <c r="P8" s="301"/>
    </row>
    <row r="9" spans="1:16" outlineLevel="1" x14ac:dyDescent="0.3">
      <c r="A9" s="361" t="s">
        <v>91</v>
      </c>
      <c r="B9" s="323" t="s">
        <v>1</v>
      </c>
      <c r="C9" s="298"/>
      <c r="D9" s="452">
        <f>'[5]Table 1 - Detailed'!D9</f>
        <v>12.554673579379669</v>
      </c>
      <c r="E9" s="452">
        <f>'[5]Table 1 - Detailed'!E9</f>
        <v>12.54122348795258</v>
      </c>
      <c r="F9" s="452">
        <f>'[5]Table 1 - Detailed'!F9</f>
        <v>12.442767744169977</v>
      </c>
      <c r="G9" s="452">
        <f>'[5]Table 1 - Detailed'!G9</f>
        <v>12.217346612242643</v>
      </c>
      <c r="H9" s="452">
        <f>'[5]Table 1 - Detailed'!H9</f>
        <v>12.261493497819158</v>
      </c>
      <c r="I9" s="452">
        <f>'[5]Table 1 - Detailed'!I9</f>
        <v>12.261493497819158</v>
      </c>
      <c r="J9" s="299">
        <f>'Table 1 - Detailed'!D9-D9</f>
        <v>-0.50712721039419151</v>
      </c>
      <c r="K9" s="299">
        <f>'Table 1 - Detailed'!E9-E9</f>
        <v>-0.46390416870675111</v>
      </c>
      <c r="L9" s="299">
        <f>'Table 1 - Detailed'!F9-F9</f>
        <v>-0.47770355010177568</v>
      </c>
      <c r="M9" s="299">
        <f>'Table 1 - Detailed'!G9-G9</f>
        <v>-0.45824345928035015</v>
      </c>
      <c r="N9" s="299">
        <f>'Table 1 - Detailed'!H9-H9</f>
        <v>-0.46202061469650779</v>
      </c>
      <c r="O9" s="300">
        <f>'Table 1 - Detailed'!I9-I9</f>
        <v>-0.46202061469650779</v>
      </c>
      <c r="P9" s="301"/>
    </row>
    <row r="10" spans="1:16" outlineLevel="1" x14ac:dyDescent="0.3">
      <c r="A10" s="361" t="s">
        <v>92</v>
      </c>
      <c r="B10" s="323" t="s">
        <v>1</v>
      </c>
      <c r="C10" s="298"/>
      <c r="D10" s="452">
        <f>'[5]Table 1 - Detailed'!D10</f>
        <v>9.7367338036333724</v>
      </c>
      <c r="E10" s="452">
        <f>'[5]Table 1 - Detailed'!E10</f>
        <v>10.058872770443296</v>
      </c>
      <c r="F10" s="452">
        <f>'[5]Table 1 - Detailed'!F10</f>
        <v>10.464960037492029</v>
      </c>
      <c r="G10" s="452">
        <f>'[5]Table 1 - Detailed'!G10</f>
        <v>9.3376352533918219</v>
      </c>
      <c r="H10" s="452">
        <f>'[5]Table 1 - Detailed'!H10</f>
        <v>9.4299689639111062</v>
      </c>
      <c r="I10" s="452">
        <f>'[5]Table 1 - Detailed'!I10</f>
        <v>9.4299689639111062</v>
      </c>
      <c r="J10" s="299">
        <f>'Table 1 - Detailed'!D10-D10</f>
        <v>-0.40091131583931627</v>
      </c>
      <c r="K10" s="299">
        <f>'Table 1 - Detailed'!E10-E10</f>
        <v>-0.36674117832289532</v>
      </c>
      <c r="L10" s="299">
        <f>'Table 1 - Detailed'!F10-F10</f>
        <v>-0.37765033097622336</v>
      </c>
      <c r="M10" s="299">
        <f>'Table 1 - Detailed'!G10-G10</f>
        <v>-0.36226608328124144</v>
      </c>
      <c r="N10" s="299">
        <f>'Table 1 - Detailed'!H10-H10</f>
        <v>-0.36525212764443715</v>
      </c>
      <c r="O10" s="300">
        <f>'Table 1 - Detailed'!I10-I10</f>
        <v>-0.36525212764443715</v>
      </c>
      <c r="P10" s="301"/>
    </row>
    <row r="11" spans="1:16" outlineLevel="1" x14ac:dyDescent="0.3">
      <c r="A11" s="361" t="s">
        <v>93</v>
      </c>
      <c r="B11" s="323" t="s">
        <v>1</v>
      </c>
      <c r="C11" s="298"/>
      <c r="D11" s="452">
        <f>'[5]Table 1 - Detailed'!D11</f>
        <v>11.217350488962474</v>
      </c>
      <c r="E11" s="452">
        <f>'[5]Table 1 - Detailed'!E11</f>
        <v>11.049872647953077</v>
      </c>
      <c r="F11" s="452">
        <f>'[5]Table 1 - Detailed'!F11</f>
        <v>10.816788043365152</v>
      </c>
      <c r="G11" s="452">
        <f>'[5]Table 1 - Detailed'!G11</f>
        <v>10.798779976013439</v>
      </c>
      <c r="H11" s="452">
        <f>'[5]Table 1 - Detailed'!H11</f>
        <v>10.670391918847113</v>
      </c>
      <c r="I11" s="452">
        <f>'[5]Table 1 - Detailed'!I11</f>
        <v>10.670391918847113</v>
      </c>
      <c r="J11" s="299">
        <f>'Table 1 - Detailed'!D11-D11</f>
        <v>-0.44609023832883032</v>
      </c>
      <c r="K11" s="299">
        <f>'Table 1 - Detailed'!E11-E11</f>
        <v>-0.40806944872722539</v>
      </c>
      <c r="L11" s="299">
        <f>'Table 1 - Detailed'!F11-F11</f>
        <v>-0.42020795995108884</v>
      </c>
      <c r="M11" s="299">
        <f>'Table 1 - Detailed'!G11-G11</f>
        <v>-0.4030900526992145</v>
      </c>
      <c r="N11" s="299">
        <f>'Table 1 - Detailed'!H11-H11</f>
        <v>-0.40641259608727154</v>
      </c>
      <c r="O11" s="300">
        <f>'Table 1 - Detailed'!I11-I11</f>
        <v>-0.40641259608727154</v>
      </c>
      <c r="P11" s="301"/>
    </row>
    <row r="12" spans="1:16" outlineLevel="1" x14ac:dyDescent="0.3">
      <c r="A12" s="362" t="s">
        <v>94</v>
      </c>
      <c r="B12" s="327" t="s">
        <v>1</v>
      </c>
      <c r="C12" s="302"/>
      <c r="D12" s="452">
        <f>'[5]Table 1 - Detailed'!D12</f>
        <v>57.069335175378136</v>
      </c>
      <c r="E12" s="452">
        <f>'[5]Table 1 - Detailed'!E12</f>
        <v>55.645763701398181</v>
      </c>
      <c r="F12" s="452">
        <f>'[5]Table 1 - Detailed'!F12</f>
        <v>52.921003161238779</v>
      </c>
      <c r="G12" s="452">
        <f>'[5]Table 1 - Detailed'!G12</f>
        <v>52.423475304875595</v>
      </c>
      <c r="H12" s="452">
        <f>'[5]Table 1 - Detailed'!H12</f>
        <v>53.017939296029354</v>
      </c>
      <c r="I12" s="452">
        <f>'[5]Table 1 - Detailed'!I12</f>
        <v>53.017939296029354</v>
      </c>
      <c r="J12" s="303">
        <f>'Table 1 - Detailed'!D12-D12</f>
        <v>-2.2166448809500707</v>
      </c>
      <c r="K12" s="303">
        <f>'Table 1 - Detailed'!E12-E12</f>
        <v>-2.027717660852602</v>
      </c>
      <c r="L12" s="303">
        <f>'Table 1 - Detailed'!F12-F12</f>
        <v>-2.0880345350068836</v>
      </c>
      <c r="M12" s="303">
        <f>'Table 1 - Detailed'!G12-G12</f>
        <v>-2.0029747909860376</v>
      </c>
      <c r="N12" s="303">
        <f>'Table 1 - Detailed'!H12-H12</f>
        <v>-2.0194846765653836</v>
      </c>
      <c r="O12" s="304">
        <f>'Table 1 - Detailed'!I12-I12</f>
        <v>-2.0194846765653836</v>
      </c>
      <c r="P12" s="305"/>
    </row>
    <row r="13" spans="1:16" ht="15" thickBot="1" x14ac:dyDescent="0.35">
      <c r="A13" s="364" t="s">
        <v>95</v>
      </c>
      <c r="B13" s="306" t="s">
        <v>1</v>
      </c>
      <c r="C13" s="307"/>
      <c r="D13" s="308">
        <f>SUM(D6:D12)</f>
        <v>192.2483061324335</v>
      </c>
      <c r="E13" s="308">
        <f>SUM(E6:E12)</f>
        <v>186.39509919794619</v>
      </c>
      <c r="F13" s="308">
        <f t="shared" ref="F13:I13" si="1">SUM(F6:F12)</f>
        <v>196.39756004288355</v>
      </c>
      <c r="G13" s="308">
        <f t="shared" si="1"/>
        <v>179.12059460656565</v>
      </c>
      <c r="H13" s="308">
        <f t="shared" si="1"/>
        <v>171.88609610395378</v>
      </c>
      <c r="I13" s="309">
        <f t="shared" si="1"/>
        <v>171.88609610395378</v>
      </c>
      <c r="J13" s="308">
        <f>'Table 1 - Detailed'!D13-D13</f>
        <v>-7.5398969825677113</v>
      </c>
      <c r="K13" s="308">
        <f>'Table 1 - Detailed'!E13-E13</f>
        <v>-6.8972627974621616</v>
      </c>
      <c r="L13" s="308">
        <f>'Table 1 - Detailed'!F13-F13</f>
        <v>-7.1024300848983444</v>
      </c>
      <c r="M13" s="308">
        <f>'Table 1 - Detailed'!G13-G13</f>
        <v>-6.8131001553311137</v>
      </c>
      <c r="N13" s="308">
        <f>'Table 1 - Detailed'!H13-H13</f>
        <v>-6.8692583778466201</v>
      </c>
      <c r="O13" s="309">
        <f>'Table 1 - Detailed'!I13-I13</f>
        <v>-6.8692583778466201</v>
      </c>
      <c r="P13" s="310"/>
    </row>
    <row r="14" spans="1:16" outlineLevel="1" x14ac:dyDescent="0.3">
      <c r="A14" s="365" t="s">
        <v>97</v>
      </c>
      <c r="B14" s="311" t="s">
        <v>1</v>
      </c>
      <c r="C14" s="312" t="s">
        <v>110</v>
      </c>
      <c r="D14" s="452">
        <f>'[5]Table 1 - Detailed'!D14</f>
        <v>8.7897010826080049</v>
      </c>
      <c r="E14" s="452">
        <f>'[5]Table 1 - Detailed'!E14</f>
        <v>10.320127258145618</v>
      </c>
      <c r="F14" s="452">
        <f>'[5]Table 1 - Detailed'!F14</f>
        <v>24.636881730744648</v>
      </c>
      <c r="G14" s="452">
        <f>'[5]Table 1 - Detailed'!G14</f>
        <v>33.907473315977974</v>
      </c>
      <c r="H14" s="452">
        <f>'[5]Table 1 - Detailed'!H14</f>
        <v>34.560002293776847</v>
      </c>
      <c r="I14" s="452">
        <f>'[5]Table 1 - Detailed'!I14</f>
        <v>34.560002293776847</v>
      </c>
      <c r="J14" s="295">
        <f>'Table 1 - Detailed'!D14-D14</f>
        <v>0</v>
      </c>
      <c r="K14" s="295">
        <f>'Table 1 - Detailed'!E14-E14</f>
        <v>0</v>
      </c>
      <c r="L14" s="295">
        <f>'Table 1 - Detailed'!F14-F14</f>
        <v>0</v>
      </c>
      <c r="M14" s="295">
        <f>'Table 1 - Detailed'!G14-G14</f>
        <v>0</v>
      </c>
      <c r="N14" s="295">
        <f>'Table 1 - Detailed'!H14-H14</f>
        <v>0</v>
      </c>
      <c r="O14" s="296">
        <f>'Table 1 - Detailed'!I14-I14</f>
        <v>0</v>
      </c>
      <c r="P14" s="297"/>
    </row>
    <row r="15" spans="1:16" outlineLevel="1" x14ac:dyDescent="0.3">
      <c r="A15" s="366" t="s">
        <v>98</v>
      </c>
      <c r="B15" s="313" t="s">
        <v>1</v>
      </c>
      <c r="C15" s="314" t="s">
        <v>111</v>
      </c>
      <c r="D15" s="452">
        <f>'[5]Table 1 - Detailed'!D15</f>
        <v>43.6519120681061</v>
      </c>
      <c r="E15" s="452">
        <f>'[5]Table 1 - Detailed'!E15</f>
        <v>52.350272452543813</v>
      </c>
      <c r="F15" s="452">
        <f>'[5]Table 1 - Detailed'!F15</f>
        <v>50.740164386555662</v>
      </c>
      <c r="G15" s="452">
        <f>'[5]Table 1 - Detailed'!G15</f>
        <v>43.481704913356793</v>
      </c>
      <c r="H15" s="452">
        <f>'[5]Table 1 - Detailed'!H15</f>
        <v>47.06784358125168</v>
      </c>
      <c r="I15" s="452">
        <f>'[5]Table 1 - Detailed'!I15</f>
        <v>47.06784358125168</v>
      </c>
      <c r="J15" s="299">
        <f>'Table 1 - Detailed'!D15-D15</f>
        <v>0</v>
      </c>
      <c r="K15" s="299">
        <f>'Table 1 - Detailed'!E15-E15</f>
        <v>-5.3212121212119712E-2</v>
      </c>
      <c r="L15" s="299">
        <f>'Table 1 - Detailed'!F15-F15</f>
        <v>-8.1010101010150493E-3</v>
      </c>
      <c r="M15" s="299">
        <f>'Table 1 - Detailed'!G15-G15</f>
        <v>1.3393939393935739E-2</v>
      </c>
      <c r="N15" s="299">
        <f>'Table 1 - Detailed'!H15-H15</f>
        <v>4.7919191919184811E-2</v>
      </c>
      <c r="O15" s="300">
        <f>'Table 1 - Detailed'!I15-I15</f>
        <v>4.7919191919184811E-2</v>
      </c>
      <c r="P15" s="301"/>
    </row>
    <row r="16" spans="1:16" outlineLevel="1" x14ac:dyDescent="0.3">
      <c r="A16" s="366" t="s">
        <v>99</v>
      </c>
      <c r="B16" s="313" t="s">
        <v>1</v>
      </c>
      <c r="C16" s="314" t="s">
        <v>112</v>
      </c>
      <c r="D16" s="452">
        <f>'[5]Table 1 - Detailed'!D16</f>
        <v>9.3008175608253847</v>
      </c>
      <c r="E16" s="452">
        <f>'[5]Table 1 - Detailed'!E16</f>
        <v>20.572102211532819</v>
      </c>
      <c r="F16" s="452">
        <f>'[5]Table 1 - Detailed'!F16</f>
        <v>18.728461210581806</v>
      </c>
      <c r="G16" s="452">
        <f>'[5]Table 1 - Detailed'!G16</f>
        <v>12.915513179805178</v>
      </c>
      <c r="H16" s="452">
        <f>'[5]Table 1 - Detailed'!H16</f>
        <v>11.335611209923535</v>
      </c>
      <c r="I16" s="452">
        <f>'[5]Table 1 - Detailed'!I16</f>
        <v>11.335611209923535</v>
      </c>
      <c r="J16" s="299">
        <f>'Table 1 - Detailed'!D16-D16</f>
        <v>0</v>
      </c>
      <c r="K16" s="299">
        <f>'Table 1 - Detailed'!E16-E16</f>
        <v>5.9272727272727366E-2</v>
      </c>
      <c r="L16" s="299">
        <f>'Table 1 - Detailed'!F16-F16</f>
        <v>-1.8060606060604556E-2</v>
      </c>
      <c r="M16" s="299">
        <f>'Table 1 - Detailed'!G16-G16</f>
        <v>-2.0363636363637028E-2</v>
      </c>
      <c r="N16" s="299">
        <f>'Table 1 - Detailed'!H16-H16</f>
        <v>-2.0848484848485782E-2</v>
      </c>
      <c r="O16" s="300">
        <f>'Table 1 - Detailed'!I16-I16</f>
        <v>-2.0848484848485782E-2</v>
      </c>
      <c r="P16" s="301"/>
    </row>
    <row r="17" spans="1:16" outlineLevel="1" x14ac:dyDescent="0.3">
      <c r="A17" s="366" t="s">
        <v>100</v>
      </c>
      <c r="B17" s="313" t="s">
        <v>1</v>
      </c>
      <c r="C17" s="314" t="s">
        <v>113</v>
      </c>
      <c r="D17" s="452">
        <f>'[5]Table 1 - Detailed'!D17</f>
        <v>13.831141198731311</v>
      </c>
      <c r="E17" s="452">
        <f>'[5]Table 1 - Detailed'!E17</f>
        <v>11.757554888642677</v>
      </c>
      <c r="F17" s="452">
        <f>'[5]Table 1 - Detailed'!F17</f>
        <v>10.881545752063463</v>
      </c>
      <c r="G17" s="452">
        <f>'[5]Table 1 - Detailed'!G17</f>
        <v>10.586434573150534</v>
      </c>
      <c r="H17" s="452">
        <f>'[5]Table 1 - Detailed'!H17</f>
        <v>10.218432343670607</v>
      </c>
      <c r="I17" s="452">
        <f>'[5]Table 1 - Detailed'!I17</f>
        <v>10.218432343670607</v>
      </c>
      <c r="J17" s="299">
        <f>'Table 1 - Detailed'!D17-D17</f>
        <v>0</v>
      </c>
      <c r="K17" s="299">
        <f>'Table 1 - Detailed'!E17-E17</f>
        <v>0</v>
      </c>
      <c r="L17" s="299">
        <f>'Table 1 - Detailed'!F17-F17</f>
        <v>0</v>
      </c>
      <c r="M17" s="299">
        <f>'Table 1 - Detailed'!G17-G17</f>
        <v>0</v>
      </c>
      <c r="N17" s="299">
        <f>'Table 1 - Detailed'!H17-H17</f>
        <v>0</v>
      </c>
      <c r="O17" s="300">
        <f>'Table 1 - Detailed'!I17-I17</f>
        <v>0</v>
      </c>
      <c r="P17" s="301"/>
    </row>
    <row r="18" spans="1:16" outlineLevel="1" x14ac:dyDescent="0.3">
      <c r="A18" s="366" t="s">
        <v>101</v>
      </c>
      <c r="B18" s="313" t="s">
        <v>1</v>
      </c>
      <c r="C18" s="314" t="s">
        <v>114</v>
      </c>
      <c r="D18" s="452">
        <f>'[5]Table 1 - Detailed'!D18</f>
        <v>8.5830601327349836</v>
      </c>
      <c r="E18" s="452">
        <f>'[5]Table 1 - Detailed'!E18</f>
        <v>8.4373780603628425</v>
      </c>
      <c r="F18" s="452">
        <f>'[5]Table 1 - Detailed'!F18</f>
        <v>8.8588593834092535</v>
      </c>
      <c r="G18" s="452">
        <f>'[5]Table 1 - Detailed'!G18</f>
        <v>7.5916421943306887</v>
      </c>
      <c r="H18" s="452">
        <f>'[5]Table 1 - Detailed'!H18</f>
        <v>7.4095225411487036</v>
      </c>
      <c r="I18" s="452">
        <f>'[5]Table 1 - Detailed'!I18</f>
        <v>7.4095225411487036</v>
      </c>
      <c r="J18" s="299">
        <f>'Table 1 - Detailed'!D18-D18</f>
        <v>0</v>
      </c>
      <c r="K18" s="299">
        <f>'Table 1 - Detailed'!E18-E18</f>
        <v>0</v>
      </c>
      <c r="L18" s="299">
        <f>'Table 1 - Detailed'!F18-F18</f>
        <v>0</v>
      </c>
      <c r="M18" s="299">
        <f>'Table 1 - Detailed'!G18-G18</f>
        <v>0</v>
      </c>
      <c r="N18" s="299">
        <f>'Table 1 - Detailed'!H18-H18</f>
        <v>0</v>
      </c>
      <c r="O18" s="300">
        <f>'Table 1 - Detailed'!I18-I18</f>
        <v>0</v>
      </c>
      <c r="P18" s="301"/>
    </row>
    <row r="19" spans="1:16" outlineLevel="1" x14ac:dyDescent="0.3">
      <c r="A19" s="366" t="s">
        <v>102</v>
      </c>
      <c r="B19" s="313" t="s">
        <v>1</v>
      </c>
      <c r="C19" s="314" t="s">
        <v>115</v>
      </c>
      <c r="D19" s="452">
        <f>'[5]Table 1 - Detailed'!D19</f>
        <v>11.660567643095652</v>
      </c>
      <c r="E19" s="452">
        <f>'[5]Table 1 - Detailed'!E19</f>
        <v>11.193928870388017</v>
      </c>
      <c r="F19" s="452">
        <f>'[5]Table 1 - Detailed'!F19</f>
        <v>11.258859956385262</v>
      </c>
      <c r="G19" s="452">
        <f>'[5]Table 1 - Detailed'!G19</f>
        <v>10.953522465973569</v>
      </c>
      <c r="H19" s="452">
        <f>'[5]Table 1 - Detailed'!H19</f>
        <v>11.124364699054023</v>
      </c>
      <c r="I19" s="452">
        <f>'[5]Table 1 - Detailed'!I19</f>
        <v>11.124364699054023</v>
      </c>
      <c r="J19" s="299">
        <f>'Table 1 - Detailed'!D19-D19</f>
        <v>0</v>
      </c>
      <c r="K19" s="299">
        <f>'Table 1 - Detailed'!E19-E19</f>
        <v>0</v>
      </c>
      <c r="L19" s="299">
        <f>'Table 1 - Detailed'!F19-F19</f>
        <v>0</v>
      </c>
      <c r="M19" s="299">
        <f>'Table 1 - Detailed'!G19-G19</f>
        <v>0</v>
      </c>
      <c r="N19" s="299">
        <f>'Table 1 - Detailed'!H19-H19</f>
        <v>0</v>
      </c>
      <c r="O19" s="300">
        <f>'Table 1 - Detailed'!I19-I19</f>
        <v>0</v>
      </c>
      <c r="P19" s="301"/>
    </row>
    <row r="20" spans="1:16" outlineLevel="1" x14ac:dyDescent="0.3">
      <c r="A20" s="367" t="s">
        <v>103</v>
      </c>
      <c r="B20" s="315" t="s">
        <v>1</v>
      </c>
      <c r="C20" s="316" t="s">
        <v>116</v>
      </c>
      <c r="D20" s="452">
        <f>'[5]Table 1 - Detailed'!D20</f>
        <v>55.878087799799069</v>
      </c>
      <c r="E20" s="452">
        <f>'[5]Table 1 - Detailed'!E20</f>
        <v>50.44896608377875</v>
      </c>
      <c r="F20" s="452">
        <f>'[5]Table 1 - Detailed'!F20</f>
        <v>47.063251396389695</v>
      </c>
      <c r="G20" s="452">
        <f>'[5]Table 1 - Detailed'!G20</f>
        <v>43.832252354546924</v>
      </c>
      <c r="H20" s="452">
        <f>'[5]Table 1 - Detailed'!H20</f>
        <v>40.346336237021774</v>
      </c>
      <c r="I20" s="452">
        <f>'[5]Table 1 - Detailed'!I20</f>
        <v>40.346336237021774</v>
      </c>
      <c r="J20" s="303">
        <f>'Table 1 - Detailed'!D20-D20</f>
        <v>0</v>
      </c>
      <c r="K20" s="303">
        <f>'Table 1 - Detailed'!E20-E20</f>
        <v>-6.0606060606076539E-3</v>
      </c>
      <c r="L20" s="303">
        <f>'Table 1 - Detailed'!F20-F20</f>
        <v>2.6161616161616053E-2</v>
      </c>
      <c r="M20" s="303">
        <f>'Table 1 - Detailed'!G20-G20</f>
        <v>6.9696969697048416E-3</v>
      </c>
      <c r="N20" s="303">
        <f>'Table 1 - Detailed'!H20-H20</f>
        <v>-2.7070707070706135E-2</v>
      </c>
      <c r="O20" s="304">
        <f>'Table 1 - Detailed'!I20-I20</f>
        <v>-2.7070707070706135E-2</v>
      </c>
      <c r="P20" s="305"/>
    </row>
    <row r="21" spans="1:16" x14ac:dyDescent="0.3">
      <c r="A21" s="368" t="s">
        <v>104</v>
      </c>
      <c r="B21" s="25" t="s">
        <v>1</v>
      </c>
      <c r="C21" s="49"/>
      <c r="D21" s="129">
        <f>SUM(D14:D20)</f>
        <v>151.69528748590051</v>
      </c>
      <c r="E21" s="129">
        <f>SUM(E14:E20)</f>
        <v>165.08032982539453</v>
      </c>
      <c r="F21" s="129">
        <f t="shared" ref="F21:I21" si="2">SUM(F14:F20)</f>
        <v>172.16802381612979</v>
      </c>
      <c r="G21" s="129">
        <f t="shared" si="2"/>
        <v>163.26854299714165</v>
      </c>
      <c r="H21" s="129">
        <f t="shared" si="2"/>
        <v>162.06211290584719</v>
      </c>
      <c r="I21" s="130">
        <f t="shared" si="2"/>
        <v>162.06211290584719</v>
      </c>
      <c r="J21" s="129">
        <f>'Table 1 - Detailed'!D21-D21</f>
        <v>0</v>
      </c>
      <c r="K21" s="129">
        <f>'Table 1 - Detailed'!E21-E21</f>
        <v>0</v>
      </c>
      <c r="L21" s="129">
        <f>'Table 1 - Detailed'!F21-F21</f>
        <v>0</v>
      </c>
      <c r="M21" s="129">
        <f>'Table 1 - Detailed'!G21-G21</f>
        <v>0</v>
      </c>
      <c r="N21" s="129">
        <f>'Table 1 - Detailed'!H21-H21</f>
        <v>0</v>
      </c>
      <c r="O21" s="130">
        <f>'Table 1 - Detailed'!I21-I21</f>
        <v>0</v>
      </c>
      <c r="P21" s="59"/>
    </row>
    <row r="22" spans="1:16" x14ac:dyDescent="0.3">
      <c r="A22" s="368" t="s">
        <v>301</v>
      </c>
      <c r="B22" s="25" t="s">
        <v>254</v>
      </c>
      <c r="C22" s="25" t="s">
        <v>302</v>
      </c>
      <c r="D22" s="512">
        <f>'Table 1 - Detailed'!D22</f>
        <v>0.5</v>
      </c>
      <c r="E22" s="512">
        <f>'Table 1 - Detailed'!E22</f>
        <v>0.5</v>
      </c>
      <c r="F22" s="512">
        <f>'Table 1 - Detailed'!F22</f>
        <v>0.5</v>
      </c>
      <c r="G22" s="512">
        <f>'Table 1 - Detailed'!G22</f>
        <v>0.5</v>
      </c>
      <c r="H22" s="512">
        <f>'Table 1 - Detailed'!H22</f>
        <v>0.5</v>
      </c>
      <c r="I22" s="513">
        <f>H22</f>
        <v>0.5</v>
      </c>
      <c r="J22" s="129">
        <f>'Table 1 - Detailed'!D22-D22</f>
        <v>0</v>
      </c>
      <c r="K22" s="129">
        <f>'Table 1 - Detailed'!E22-E22</f>
        <v>0</v>
      </c>
      <c r="L22" s="129">
        <f>'Table 1 - Detailed'!F22-F22</f>
        <v>0</v>
      </c>
      <c r="M22" s="129">
        <f>'Table 1 - Detailed'!G22-G22</f>
        <v>0</v>
      </c>
      <c r="N22" s="129">
        <f>'Table 1 - Detailed'!H22-H22</f>
        <v>0</v>
      </c>
      <c r="O22" s="130">
        <f>'Table 1 - Detailed'!I22-I22</f>
        <v>0</v>
      </c>
      <c r="P22" s="59"/>
    </row>
    <row r="23" spans="1:16" ht="15" thickBot="1" x14ac:dyDescent="0.35">
      <c r="A23" s="359" t="s">
        <v>107</v>
      </c>
      <c r="B23" s="333" t="s">
        <v>1</v>
      </c>
      <c r="C23" s="334"/>
      <c r="D23" s="233">
        <f>IF(D21&gt;0,(D21-D13)*D22+D13,D13)</f>
        <v>171.97179680916702</v>
      </c>
      <c r="E23" s="233">
        <f>IF(E21&gt;0,(E21-E13)*E22+E13,E13)</f>
        <v>175.73771451167036</v>
      </c>
      <c r="F23" s="233">
        <f t="shared" ref="F23:I23" si="3">IF(F21&gt;0,(F21-F13)*F22+F13,F13)</f>
        <v>184.28279192950669</v>
      </c>
      <c r="G23" s="233">
        <f t="shared" si="3"/>
        <v>171.19456880185365</v>
      </c>
      <c r="H23" s="233">
        <f t="shared" si="3"/>
        <v>166.97410450490048</v>
      </c>
      <c r="I23" s="234">
        <f t="shared" si="3"/>
        <v>166.97410450490048</v>
      </c>
      <c r="J23" s="233">
        <f>'Table 1 - Detailed'!D23-D23</f>
        <v>-3.7699484912838557</v>
      </c>
      <c r="K23" s="233">
        <f>'Table 1 - Detailed'!E23-E23</f>
        <v>-3.4486313987310666</v>
      </c>
      <c r="L23" s="233">
        <f>'Table 1 - Detailed'!F23-F23</f>
        <v>-3.5512150424492006</v>
      </c>
      <c r="M23" s="233">
        <f>'Table 1 - Detailed'!G23-G23</f>
        <v>-3.4065500776655711</v>
      </c>
      <c r="N23" s="233">
        <f>'Table 1 - Detailed'!H23-H23</f>
        <v>-3.4346291889233385</v>
      </c>
      <c r="O23" s="234">
        <f>'Table 1 - Detailed'!I23-I23</f>
        <v>-3.4346291889233385</v>
      </c>
      <c r="P23" s="60"/>
    </row>
    <row r="24" spans="1:16" x14ac:dyDescent="0.3">
      <c r="A24" s="358" t="s">
        <v>255</v>
      </c>
      <c r="B24" s="45" t="s">
        <v>254</v>
      </c>
      <c r="C24" s="51"/>
      <c r="D24" s="514">
        <f>'Table 1 - Detailed'!D24</f>
        <v>0.78</v>
      </c>
      <c r="E24" s="514">
        <f>'Table 1 - Detailed'!E24</f>
        <v>0.78</v>
      </c>
      <c r="F24" s="514">
        <f>'Table 1 - Detailed'!F24</f>
        <v>0.78</v>
      </c>
      <c r="G24" s="514">
        <f>'Table 1 - Detailed'!G24</f>
        <v>0.78</v>
      </c>
      <c r="H24" s="514">
        <f>'Table 1 - Detailed'!H24</f>
        <v>0.78</v>
      </c>
      <c r="I24" s="515">
        <f>H24</f>
        <v>0.78</v>
      </c>
      <c r="J24" s="46">
        <f>'Table 1 - Detailed'!D24-D24</f>
        <v>0</v>
      </c>
      <c r="K24" s="46">
        <f>'Table 1 - Detailed'!E24-E24</f>
        <v>0</v>
      </c>
      <c r="L24" s="46">
        <f>'Table 1 - Detailed'!F24-F24</f>
        <v>0</v>
      </c>
      <c r="M24" s="46">
        <f>'Table 1 - Detailed'!G24-G24</f>
        <v>0</v>
      </c>
      <c r="N24" s="46">
        <f>'Table 1 - Detailed'!H24-H24</f>
        <v>0</v>
      </c>
      <c r="O24" s="47">
        <f>'Table 1 - Detailed'!I24-I24</f>
        <v>0</v>
      </c>
      <c r="P24" s="67"/>
    </row>
    <row r="25" spans="1:16" ht="15" thickBot="1" x14ac:dyDescent="0.35">
      <c r="A25" s="363" t="s">
        <v>106</v>
      </c>
      <c r="B25" s="317" t="s">
        <v>1</v>
      </c>
      <c r="C25" s="318"/>
      <c r="D25" s="308">
        <f>(1-D24)*D23</f>
        <v>37.833795298016739</v>
      </c>
      <c r="E25" s="308">
        <f>(1-E24)*E23</f>
        <v>38.662297192567472</v>
      </c>
      <c r="F25" s="308">
        <f t="shared" ref="F25:I25" si="4">(1-F24)*F23</f>
        <v>40.542214224491467</v>
      </c>
      <c r="G25" s="308">
        <f t="shared" si="4"/>
        <v>37.662805136407798</v>
      </c>
      <c r="H25" s="308">
        <f t="shared" si="4"/>
        <v>36.734302991078103</v>
      </c>
      <c r="I25" s="309">
        <f t="shared" si="4"/>
        <v>36.734302991078103</v>
      </c>
      <c r="J25" s="308">
        <f>'Table 1 - Detailed'!D25-D25</f>
        <v>-0.82938866808244427</v>
      </c>
      <c r="K25" s="308">
        <f>'Table 1 - Detailed'!E25-E25</f>
        <v>-0.75869890772083437</v>
      </c>
      <c r="L25" s="308">
        <f>'Table 1 - Detailed'!F25-F25</f>
        <v>-0.78126730933882271</v>
      </c>
      <c r="M25" s="308">
        <f>'Table 1 - Detailed'!G25-G25</f>
        <v>-0.74944101708642563</v>
      </c>
      <c r="N25" s="308">
        <f>'Table 1 - Detailed'!H25-H25</f>
        <v>-0.75561842156313475</v>
      </c>
      <c r="O25" s="309">
        <f>'Table 1 - Detailed'!I25-I25</f>
        <v>-0.75561842156313475</v>
      </c>
      <c r="P25" s="310"/>
    </row>
    <row r="26" spans="1:16" outlineLevel="1" x14ac:dyDescent="0.3">
      <c r="A26" s="360" t="s">
        <v>88</v>
      </c>
      <c r="B26" s="319" t="s">
        <v>1</v>
      </c>
      <c r="C26" s="320"/>
      <c r="D26" s="452">
        <f>'[5]Table 1 - Detailed'!D26</f>
        <v>2.6644484640222967</v>
      </c>
      <c r="E26" s="452">
        <f>'[5]Table 1 - Detailed'!E26</f>
        <v>6.2981951715080751</v>
      </c>
      <c r="F26" s="452">
        <f>'[5]Table 1 - Detailed'!F26</f>
        <v>8.5852076915614841</v>
      </c>
      <c r="G26" s="452">
        <f>'[5]Table 1 - Detailed'!G26</f>
        <v>10.727688746988267</v>
      </c>
      <c r="H26" s="452">
        <f>'[5]Table 1 - Detailed'!H26</f>
        <v>27.17720689767043</v>
      </c>
      <c r="I26" s="452">
        <f>'[5]Table 1 - Detailed'!I26</f>
        <v>27.17720689767043</v>
      </c>
      <c r="J26" s="321">
        <f>'Table 1 - Detailed'!D26-D26</f>
        <v>-0.15388991366834803</v>
      </c>
      <c r="K26" s="321">
        <f>'Table 1 - Detailed'!E26-E26</f>
        <v>-0.2616222999206741</v>
      </c>
      <c r="L26" s="321">
        <f>'Table 1 - Detailed'!F26-F26</f>
        <v>-0.31506637212366329</v>
      </c>
      <c r="M26" s="321">
        <f>'Table 1 - Detailed'!G26-G26</f>
        <v>-0.3719164027664128</v>
      </c>
      <c r="N26" s="321">
        <f>'Table 1 - Detailed'!H26-H26</f>
        <v>-0.42653686775110344</v>
      </c>
      <c r="O26" s="322">
        <f>'Table 1 - Detailed'!I26-I26</f>
        <v>-0.42653686775110344</v>
      </c>
      <c r="P26" s="297"/>
    </row>
    <row r="27" spans="1:16" outlineLevel="1" x14ac:dyDescent="0.3">
      <c r="A27" s="361" t="s">
        <v>89</v>
      </c>
      <c r="B27" s="323" t="s">
        <v>1</v>
      </c>
      <c r="C27" s="324"/>
      <c r="D27" s="452">
        <f>'[5]Table 1 - Detailed'!D27</f>
        <v>1.6782919274490784</v>
      </c>
      <c r="E27" s="452">
        <f>'[5]Table 1 - Detailed'!E27</f>
        <v>2.4244939782555202</v>
      </c>
      <c r="F27" s="452">
        <f>'[5]Table 1 - Detailed'!F27</f>
        <v>2.169330362625848</v>
      </c>
      <c r="G27" s="452">
        <f>'[5]Table 1 - Detailed'!G27</f>
        <v>0.84726197266364311</v>
      </c>
      <c r="H27" s="452">
        <f>'[5]Table 1 - Detailed'!H27</f>
        <v>0.51133248733256886</v>
      </c>
      <c r="I27" s="452">
        <f>'[5]Table 1 - Detailed'!I27</f>
        <v>0.51133248733256886</v>
      </c>
      <c r="J27" s="325">
        <f>'Table 1 - Detailed'!D27-D27</f>
        <v>-1.6116866729235513E-2</v>
      </c>
      <c r="K27" s="325">
        <f>'Table 1 - Detailed'!E27-E27</f>
        <v>-2.7399662789497015E-2</v>
      </c>
      <c r="L27" s="325">
        <f>'Table 1 - Detailed'!F27-F27</f>
        <v>-3.2996852160982471E-2</v>
      </c>
      <c r="M27" s="325">
        <f>'Table 1 - Detailed'!G27-G27</f>
        <v>-3.8950747030250477E-2</v>
      </c>
      <c r="N27" s="325">
        <f>'Table 1 - Detailed'!H27-H27</f>
        <v>-4.4671139834838891E-2</v>
      </c>
      <c r="O27" s="326">
        <f>'Table 1 - Detailed'!I27-I27</f>
        <v>-4.4671139834838891E-2</v>
      </c>
      <c r="P27" s="301"/>
    </row>
    <row r="28" spans="1:16" outlineLevel="1" x14ac:dyDescent="0.3">
      <c r="A28" s="361" t="s">
        <v>90</v>
      </c>
      <c r="B28" s="323" t="s">
        <v>1</v>
      </c>
      <c r="C28" s="324"/>
      <c r="D28" s="452">
        <f>'[5]Table 1 - Detailed'!D28</f>
        <v>0.94443859180414125</v>
      </c>
      <c r="E28" s="452">
        <f>'[5]Table 1 - Detailed'!E28</f>
        <v>0.67767378376560672</v>
      </c>
      <c r="F28" s="452">
        <f>'[5]Table 1 - Detailed'!F28</f>
        <v>0.30100478541490572</v>
      </c>
      <c r="G28" s="452">
        <f>'[5]Table 1 - Detailed'!G28</f>
        <v>0.27125793658169417</v>
      </c>
      <c r="H28" s="452">
        <f>'[5]Table 1 - Detailed'!H28</f>
        <v>0.32218673894890892</v>
      </c>
      <c r="I28" s="452">
        <f>'[5]Table 1 - Detailed'!I28</f>
        <v>0.32218673894890892</v>
      </c>
      <c r="J28" s="325">
        <f>'Table 1 - Detailed'!D28-D28</f>
        <v>0</v>
      </c>
      <c r="K28" s="325">
        <f>'Table 1 - Detailed'!E28-E28</f>
        <v>0</v>
      </c>
      <c r="L28" s="325">
        <f>'Table 1 - Detailed'!F28-F28</f>
        <v>0</v>
      </c>
      <c r="M28" s="325">
        <f>'Table 1 - Detailed'!G28-G28</f>
        <v>0</v>
      </c>
      <c r="N28" s="325">
        <f>'Table 1 - Detailed'!H28-H28</f>
        <v>0</v>
      </c>
      <c r="O28" s="326">
        <f>'Table 1 - Detailed'!I28-I28</f>
        <v>0</v>
      </c>
      <c r="P28" s="301"/>
    </row>
    <row r="29" spans="1:16" outlineLevel="1" x14ac:dyDescent="0.3">
      <c r="A29" s="361" t="s">
        <v>91</v>
      </c>
      <c r="B29" s="323" t="s">
        <v>1</v>
      </c>
      <c r="C29" s="324"/>
      <c r="D29" s="452">
        <f>'[5]Table 1 - Detailed'!D29</f>
        <v>0</v>
      </c>
      <c r="E29" s="452">
        <f>'[5]Table 1 - Detailed'!E29</f>
        <v>0</v>
      </c>
      <c r="F29" s="452">
        <f>'[5]Table 1 - Detailed'!F29</f>
        <v>1.19</v>
      </c>
      <c r="G29" s="452">
        <f>'[5]Table 1 - Detailed'!G29</f>
        <v>1.38</v>
      </c>
      <c r="H29" s="452">
        <f>'[5]Table 1 - Detailed'!H29</f>
        <v>1.45</v>
      </c>
      <c r="I29" s="452">
        <f>'[5]Table 1 - Detailed'!I29</f>
        <v>1.45</v>
      </c>
      <c r="J29" s="325">
        <f>'Table 1 - Detailed'!D29-D29</f>
        <v>0</v>
      </c>
      <c r="K29" s="325">
        <f>'Table 1 - Detailed'!E29-E29</f>
        <v>0.06</v>
      </c>
      <c r="L29" s="325">
        <f>'Table 1 - Detailed'!F29-F29</f>
        <v>0.30000000000000004</v>
      </c>
      <c r="M29" s="325">
        <f>'Table 1 - Detailed'!G29-G29</f>
        <v>0.30000000000000027</v>
      </c>
      <c r="N29" s="325">
        <f>'Table 1 - Detailed'!H29-H29</f>
        <v>0.27000000000000024</v>
      </c>
      <c r="O29" s="326">
        <f>'Table 1 - Detailed'!I29-I29</f>
        <v>0.27000000000000024</v>
      </c>
      <c r="P29" s="301"/>
    </row>
    <row r="30" spans="1:16" outlineLevel="1" x14ac:dyDescent="0.3">
      <c r="A30" s="361" t="s">
        <v>92</v>
      </c>
      <c r="B30" s="323" t="s">
        <v>1</v>
      </c>
      <c r="C30" s="324"/>
      <c r="D30" s="452">
        <f>'[5]Table 1 - Detailed'!D30</f>
        <v>0</v>
      </c>
      <c r="E30" s="452">
        <f>'[5]Table 1 - Detailed'!E30</f>
        <v>0</v>
      </c>
      <c r="F30" s="452">
        <f>'[5]Table 1 - Detailed'!F30</f>
        <v>0</v>
      </c>
      <c r="G30" s="452">
        <f>'[5]Table 1 - Detailed'!G30</f>
        <v>0</v>
      </c>
      <c r="H30" s="452">
        <f>'[5]Table 1 - Detailed'!H30</f>
        <v>0</v>
      </c>
      <c r="I30" s="452">
        <f>'[5]Table 1 - Detailed'!I30</f>
        <v>0</v>
      </c>
      <c r="J30" s="325">
        <f>'Table 1 - Detailed'!D30-D30</f>
        <v>0</v>
      </c>
      <c r="K30" s="325">
        <f>'Table 1 - Detailed'!E30-E30</f>
        <v>0</v>
      </c>
      <c r="L30" s="325">
        <f>'Table 1 - Detailed'!F30-F30</f>
        <v>0</v>
      </c>
      <c r="M30" s="325">
        <f>'Table 1 - Detailed'!G30-G30</f>
        <v>0</v>
      </c>
      <c r="N30" s="325">
        <f>'Table 1 - Detailed'!H30-H30</f>
        <v>0</v>
      </c>
      <c r="O30" s="326">
        <f>'Table 1 - Detailed'!I30-I30</f>
        <v>0</v>
      </c>
      <c r="P30" s="301"/>
    </row>
    <row r="31" spans="1:16" outlineLevel="1" x14ac:dyDescent="0.3">
      <c r="A31" s="361" t="s">
        <v>93</v>
      </c>
      <c r="B31" s="323" t="s">
        <v>1</v>
      </c>
      <c r="C31" s="324"/>
      <c r="D31" s="452">
        <f>'[5]Table 1 - Detailed'!D31</f>
        <v>0</v>
      </c>
      <c r="E31" s="452">
        <f>'[5]Table 1 - Detailed'!E31</f>
        <v>0</v>
      </c>
      <c r="F31" s="452">
        <f>'[5]Table 1 - Detailed'!F31</f>
        <v>0</v>
      </c>
      <c r="G31" s="452">
        <f>'[5]Table 1 - Detailed'!G31</f>
        <v>0</v>
      </c>
      <c r="H31" s="452">
        <f>'[5]Table 1 - Detailed'!H31</f>
        <v>0</v>
      </c>
      <c r="I31" s="452">
        <f>'[5]Table 1 - Detailed'!I31</f>
        <v>0</v>
      </c>
      <c r="J31" s="325">
        <f>'Table 1 - Detailed'!D31-D31</f>
        <v>0</v>
      </c>
      <c r="K31" s="325">
        <f>'Table 1 - Detailed'!E31-E31</f>
        <v>0</v>
      </c>
      <c r="L31" s="325">
        <f>'Table 1 - Detailed'!F31-F31</f>
        <v>0</v>
      </c>
      <c r="M31" s="325">
        <f>'Table 1 - Detailed'!G31-G31</f>
        <v>0</v>
      </c>
      <c r="N31" s="325">
        <f>'Table 1 - Detailed'!H31-H31</f>
        <v>0</v>
      </c>
      <c r="O31" s="326">
        <f>'Table 1 - Detailed'!I31-I31</f>
        <v>0</v>
      </c>
      <c r="P31" s="301"/>
    </row>
    <row r="32" spans="1:16" outlineLevel="1" x14ac:dyDescent="0.3">
      <c r="A32" s="362" t="s">
        <v>94</v>
      </c>
      <c r="B32" s="327" t="s">
        <v>1</v>
      </c>
      <c r="C32" s="328"/>
      <c r="D32" s="452">
        <f>'[5]Table 1 - Detailed'!D32</f>
        <v>0.30541644957920672</v>
      </c>
      <c r="E32" s="452">
        <f>'[5]Table 1 - Detailed'!E32</f>
        <v>0.6916848323106527</v>
      </c>
      <c r="F32" s="452">
        <f>'[5]Table 1 - Detailed'!F32</f>
        <v>0.92978700263986169</v>
      </c>
      <c r="G32" s="452">
        <f>'[5]Table 1 - Detailed'!G32</f>
        <v>1.1497072502062173</v>
      </c>
      <c r="H32" s="452">
        <f>'[5]Table 1 - Detailed'!H32</f>
        <v>2.9128916598070691</v>
      </c>
      <c r="I32" s="452">
        <f>'[5]Table 1 - Detailed'!I32</f>
        <v>2.9128916598070691</v>
      </c>
      <c r="J32" s="329">
        <f>'Table 1 - Detailed'!D32-D32</f>
        <v>0</v>
      </c>
      <c r="K32" s="329">
        <f>'Table 1 - Detailed'!E32-E32</f>
        <v>0</v>
      </c>
      <c r="L32" s="329">
        <f>'Table 1 - Detailed'!F32-F32</f>
        <v>0</v>
      </c>
      <c r="M32" s="329">
        <f>'Table 1 - Detailed'!G32-G32</f>
        <v>0</v>
      </c>
      <c r="N32" s="329">
        <f>'Table 1 - Detailed'!H32-H32</f>
        <v>0</v>
      </c>
      <c r="O32" s="330">
        <f>'Table 1 - Detailed'!I32-I32</f>
        <v>0</v>
      </c>
      <c r="P32" s="305"/>
    </row>
    <row r="33" spans="1:16" ht="15" thickBot="1" x14ac:dyDescent="0.35">
      <c r="A33" s="364" t="s">
        <v>96</v>
      </c>
      <c r="B33" s="306" t="s">
        <v>1</v>
      </c>
      <c r="C33" s="307"/>
      <c r="D33" s="308">
        <f>SUM(D26:D32)</f>
        <v>5.5925954328547238</v>
      </c>
      <c r="E33" s="308">
        <f>SUM(E26:E32)</f>
        <v>10.092047765839856</v>
      </c>
      <c r="F33" s="308">
        <f t="shared" ref="F33:I33" si="5">SUM(F26:F32)</f>
        <v>13.175329842242098</v>
      </c>
      <c r="G33" s="308">
        <f t="shared" si="5"/>
        <v>14.375915906439824</v>
      </c>
      <c r="H33" s="308">
        <f t="shared" si="5"/>
        <v>32.373617783758974</v>
      </c>
      <c r="I33" s="309">
        <f t="shared" si="5"/>
        <v>32.373617783758974</v>
      </c>
      <c r="J33" s="308">
        <f>'Table 1 - Detailed'!D33-D33</f>
        <v>-0.17000678039758377</v>
      </c>
      <c r="K33" s="308">
        <f>'Table 1 - Detailed'!E33-E33</f>
        <v>-0.22902196271017239</v>
      </c>
      <c r="L33" s="308">
        <f>'Table 1 - Detailed'!F33-F33</f>
        <v>-4.8063224284645045E-2</v>
      </c>
      <c r="M33" s="308">
        <f>'Table 1 - Detailed'!G33-G33</f>
        <v>-0.11086714979666468</v>
      </c>
      <c r="N33" s="308">
        <f>'Table 1 - Detailed'!H33-H33</f>
        <v>-0.20120800758594015</v>
      </c>
      <c r="O33" s="309">
        <f>'Table 1 - Detailed'!I33-I33</f>
        <v>-0.20120800758594015</v>
      </c>
      <c r="P33" s="310"/>
    </row>
    <row r="34" spans="1:16" outlineLevel="1" x14ac:dyDescent="0.3">
      <c r="A34" s="365" t="s">
        <v>97</v>
      </c>
      <c r="B34" s="311" t="s">
        <v>1</v>
      </c>
      <c r="C34" s="312" t="s">
        <v>117</v>
      </c>
      <c r="D34" s="452">
        <f>'[5]Table 1 - Detailed'!D34</f>
        <v>2.5713272738652373</v>
      </c>
      <c r="E34" s="452">
        <f>'[5]Table 1 - Detailed'!E34</f>
        <v>6.1529560979830196</v>
      </c>
      <c r="F34" s="452">
        <f>'[5]Table 1 - Detailed'!F34</f>
        <v>8.2484432610790446</v>
      </c>
      <c r="G34" s="452">
        <f>'[5]Table 1 - Detailed'!G34</f>
        <v>10.183986145075748</v>
      </c>
      <c r="H34" s="452">
        <f>'[5]Table 1 - Detailed'!H34</f>
        <v>26.468532498791376</v>
      </c>
      <c r="I34" s="452">
        <f>'[5]Table 1 - Detailed'!I34</f>
        <v>26.468532498791376</v>
      </c>
      <c r="J34" s="321">
        <f>'Table 1 - Detailed'!D34-D34</f>
        <v>0</v>
      </c>
      <c r="K34" s="321">
        <f>'Table 1 - Detailed'!E34-E34</f>
        <v>0</v>
      </c>
      <c r="L34" s="321">
        <f>'Table 1 - Detailed'!F34-F34</f>
        <v>0</v>
      </c>
      <c r="M34" s="321">
        <f>'Table 1 - Detailed'!G34-G34</f>
        <v>0</v>
      </c>
      <c r="N34" s="321">
        <f>'Table 1 - Detailed'!H34-H34</f>
        <v>0</v>
      </c>
      <c r="O34" s="322">
        <f>'Table 1 - Detailed'!I34-I34</f>
        <v>0</v>
      </c>
      <c r="P34" s="297"/>
    </row>
    <row r="35" spans="1:16" outlineLevel="1" x14ac:dyDescent="0.3">
      <c r="A35" s="366" t="s">
        <v>98</v>
      </c>
      <c r="B35" s="313" t="s">
        <v>1</v>
      </c>
      <c r="C35" s="314" t="s">
        <v>118</v>
      </c>
      <c r="D35" s="452">
        <f>'[5]Table 1 - Detailed'!D35</f>
        <v>2.5143279732494159</v>
      </c>
      <c r="E35" s="452">
        <f>'[5]Table 1 - Detailed'!E35</f>
        <v>3.3639687680800412</v>
      </c>
      <c r="F35" s="452">
        <f>'[5]Table 1 - Detailed'!F35</f>
        <v>3.9777719263264526</v>
      </c>
      <c r="G35" s="452">
        <f>'[5]Table 1 - Detailed'!G35</f>
        <v>2.20708748317618</v>
      </c>
      <c r="H35" s="452">
        <f>'[5]Table 1 - Detailed'!H35</f>
        <v>1.9283146883242097</v>
      </c>
      <c r="I35" s="452">
        <f>'[5]Table 1 - Detailed'!I35</f>
        <v>1.9283146883242097</v>
      </c>
      <c r="J35" s="325">
        <f>'Table 1 - Detailed'!D35-D35</f>
        <v>0</v>
      </c>
      <c r="K35" s="325">
        <f>'Table 1 - Detailed'!E35-E35</f>
        <v>5.3212121212121488E-2</v>
      </c>
      <c r="L35" s="325">
        <f>'Table 1 - Detailed'!F35-F35</f>
        <v>0.13143434343434368</v>
      </c>
      <c r="M35" s="325">
        <f>'Table 1 - Detailed'!G35-G35</f>
        <v>0.10993939393939423</v>
      </c>
      <c r="N35" s="325">
        <f>'Table 1 - Detailed'!H35-H35</f>
        <v>7.5414141414141822E-2</v>
      </c>
      <c r="O35" s="326">
        <f>'Table 1 - Detailed'!I35-I35</f>
        <v>7.5414141414141822E-2</v>
      </c>
      <c r="P35" s="301"/>
    </row>
    <row r="36" spans="1:16" outlineLevel="1" x14ac:dyDescent="0.3">
      <c r="A36" s="366" t="s">
        <v>99</v>
      </c>
      <c r="B36" s="313" t="s">
        <v>1</v>
      </c>
      <c r="C36" s="314" t="s">
        <v>119</v>
      </c>
      <c r="D36" s="452">
        <f>'[5]Table 1 - Detailed'!D36</f>
        <v>0.83826975268693793</v>
      </c>
      <c r="E36" s="452">
        <f>'[5]Table 1 - Detailed'!E36</f>
        <v>0.76923797310880082</v>
      </c>
      <c r="F36" s="452">
        <f>'[5]Table 1 - Detailed'!F36</f>
        <v>0.31247943059903638</v>
      </c>
      <c r="G36" s="452">
        <f>'[5]Table 1 - Detailed'!G36</f>
        <v>0.26531070914633614</v>
      </c>
      <c r="H36" s="452">
        <f>'[5]Table 1 - Detailed'!H36</f>
        <v>0.31499006205324986</v>
      </c>
      <c r="I36" s="452">
        <f>'[5]Table 1 - Detailed'!I36</f>
        <v>0.31499006205324986</v>
      </c>
      <c r="J36" s="325">
        <f>'Table 1 - Detailed'!D36-D36</f>
        <v>0</v>
      </c>
      <c r="K36" s="325">
        <f>'Table 1 - Detailed'!E36-E36</f>
        <v>7.2727272727268755E-4</v>
      </c>
      <c r="L36" s="325">
        <f>'Table 1 - Detailed'!F36-F36</f>
        <v>1.8060606060606055E-2</v>
      </c>
      <c r="M36" s="325">
        <f>'Table 1 - Detailed'!G36-G36</f>
        <v>2.0363636363636362E-2</v>
      </c>
      <c r="N36" s="325">
        <f>'Table 1 - Detailed'!H36-H36</f>
        <v>2.0848484848484838E-2</v>
      </c>
      <c r="O36" s="326">
        <f>'Table 1 - Detailed'!I36-I36</f>
        <v>2.0848484848484838E-2</v>
      </c>
      <c r="P36" s="301"/>
    </row>
    <row r="37" spans="1:16" outlineLevel="1" x14ac:dyDescent="0.3">
      <c r="A37" s="366" t="s">
        <v>100</v>
      </c>
      <c r="B37" s="313" t="s">
        <v>1</v>
      </c>
      <c r="C37" s="314" t="s">
        <v>120</v>
      </c>
      <c r="D37" s="452">
        <f>'[5]Table 1 - Detailed'!D37</f>
        <v>0</v>
      </c>
      <c r="E37" s="452">
        <f>'[5]Table 1 - Detailed'!E37</f>
        <v>0</v>
      </c>
      <c r="F37" s="452">
        <f>'[5]Table 1 - Detailed'!F37</f>
        <v>0</v>
      </c>
      <c r="G37" s="452">
        <f>'[5]Table 1 - Detailed'!G37</f>
        <v>0</v>
      </c>
      <c r="H37" s="452">
        <f>'[5]Table 1 - Detailed'!H37</f>
        <v>0</v>
      </c>
      <c r="I37" s="452">
        <f>'[5]Table 1 - Detailed'!I37</f>
        <v>0</v>
      </c>
      <c r="J37" s="325">
        <f>'Table 1 - Detailed'!D37-D37</f>
        <v>0</v>
      </c>
      <c r="K37" s="325">
        <f>'Table 1 - Detailed'!E37-E37</f>
        <v>0</v>
      </c>
      <c r="L37" s="325">
        <f>'Table 1 - Detailed'!F37-F37</f>
        <v>0</v>
      </c>
      <c r="M37" s="325">
        <f>'Table 1 - Detailed'!G37-G37</f>
        <v>0</v>
      </c>
      <c r="N37" s="325">
        <f>'Table 1 - Detailed'!H37-H37</f>
        <v>0</v>
      </c>
      <c r="O37" s="326">
        <f>'Table 1 - Detailed'!I37-I37</f>
        <v>0</v>
      </c>
      <c r="P37" s="301"/>
    </row>
    <row r="38" spans="1:16" outlineLevel="1" x14ac:dyDescent="0.3">
      <c r="A38" s="366" t="s">
        <v>101</v>
      </c>
      <c r="B38" s="313" t="s">
        <v>1</v>
      </c>
      <c r="C38" s="314" t="s">
        <v>121</v>
      </c>
      <c r="D38" s="452">
        <f>'[5]Table 1 - Detailed'!D38</f>
        <v>0</v>
      </c>
      <c r="E38" s="452">
        <f>'[5]Table 1 - Detailed'!E38</f>
        <v>0</v>
      </c>
      <c r="F38" s="452">
        <f>'[5]Table 1 - Detailed'!F38</f>
        <v>0</v>
      </c>
      <c r="G38" s="452">
        <f>'[5]Table 1 - Detailed'!G38</f>
        <v>0</v>
      </c>
      <c r="H38" s="452">
        <f>'[5]Table 1 - Detailed'!H38</f>
        <v>0</v>
      </c>
      <c r="I38" s="452">
        <f>'[5]Table 1 - Detailed'!I38</f>
        <v>0</v>
      </c>
      <c r="J38" s="325">
        <f>'Table 1 - Detailed'!D38-D38</f>
        <v>0</v>
      </c>
      <c r="K38" s="325">
        <f>'Table 1 - Detailed'!E38-E38</f>
        <v>0</v>
      </c>
      <c r="L38" s="325">
        <f>'Table 1 - Detailed'!F38-F38</f>
        <v>0</v>
      </c>
      <c r="M38" s="325">
        <f>'Table 1 - Detailed'!G38-G38</f>
        <v>0</v>
      </c>
      <c r="N38" s="325">
        <f>'Table 1 - Detailed'!H38-H38</f>
        <v>0</v>
      </c>
      <c r="O38" s="326">
        <f>'Table 1 - Detailed'!I38-I38</f>
        <v>0</v>
      </c>
      <c r="P38" s="301"/>
    </row>
    <row r="39" spans="1:16" outlineLevel="1" x14ac:dyDescent="0.3">
      <c r="A39" s="366" t="s">
        <v>102</v>
      </c>
      <c r="B39" s="313" t="s">
        <v>1</v>
      </c>
      <c r="C39" s="314" t="s">
        <v>122</v>
      </c>
      <c r="D39" s="452">
        <f>'[5]Table 1 - Detailed'!D39</f>
        <v>0</v>
      </c>
      <c r="E39" s="452">
        <f>'[5]Table 1 - Detailed'!E39</f>
        <v>0</v>
      </c>
      <c r="F39" s="452">
        <f>'[5]Table 1 - Detailed'!F39</f>
        <v>0</v>
      </c>
      <c r="G39" s="452">
        <f>'[5]Table 1 - Detailed'!G39</f>
        <v>0</v>
      </c>
      <c r="H39" s="452">
        <f>'[5]Table 1 - Detailed'!H39</f>
        <v>0</v>
      </c>
      <c r="I39" s="452">
        <f>'[5]Table 1 - Detailed'!I39</f>
        <v>0</v>
      </c>
      <c r="J39" s="325">
        <f>'Table 1 - Detailed'!D39-D39</f>
        <v>0</v>
      </c>
      <c r="K39" s="325">
        <f>'Table 1 - Detailed'!E39-E39</f>
        <v>0</v>
      </c>
      <c r="L39" s="325">
        <f>'Table 1 - Detailed'!F39-F39</f>
        <v>0</v>
      </c>
      <c r="M39" s="325">
        <f>'Table 1 - Detailed'!G39-G39</f>
        <v>0</v>
      </c>
      <c r="N39" s="325">
        <f>'Table 1 - Detailed'!H39-H39</f>
        <v>0</v>
      </c>
      <c r="O39" s="326">
        <f>'Table 1 - Detailed'!I39-I39</f>
        <v>0</v>
      </c>
      <c r="P39" s="301"/>
    </row>
    <row r="40" spans="1:16" outlineLevel="1" x14ac:dyDescent="0.3">
      <c r="A40" s="367" t="s">
        <v>103</v>
      </c>
      <c r="B40" s="315" t="s">
        <v>1</v>
      </c>
      <c r="C40" s="316" t="s">
        <v>123</v>
      </c>
      <c r="D40" s="452">
        <f>'[5]Table 1 - Detailed'!D40</f>
        <v>0.30777075735914255</v>
      </c>
      <c r="E40" s="452">
        <f>'[5]Table 1 - Detailed'!E40</f>
        <v>0.72108383880046367</v>
      </c>
      <c r="F40" s="452">
        <f>'[5]Table 1 - Detailed'!F40</f>
        <v>0.93595945046292339</v>
      </c>
      <c r="G40" s="452">
        <f>'[5]Table 1 - Detailed'!G40</f>
        <v>1.1549479679903156</v>
      </c>
      <c r="H40" s="452">
        <f>'[5]Table 1 - Detailed'!H40</f>
        <v>2.9191137004677277</v>
      </c>
      <c r="I40" s="452">
        <f>'[5]Table 1 - Detailed'!I40</f>
        <v>2.9191137004677277</v>
      </c>
      <c r="J40" s="329">
        <f>'Table 1 - Detailed'!D40-D40</f>
        <v>0</v>
      </c>
      <c r="K40" s="329">
        <f>'Table 1 - Detailed'!E40-E40</f>
        <v>6.0606060606060996E-3</v>
      </c>
      <c r="L40" s="329">
        <f>'Table 1 - Detailed'!F40-F40</f>
        <v>0.15050505050505047</v>
      </c>
      <c r="M40" s="329">
        <f>'Table 1 - Detailed'!G40-G40</f>
        <v>0.16969696969696968</v>
      </c>
      <c r="N40" s="329">
        <f>'Table 1 - Detailed'!H40-H40</f>
        <v>0.17373737373737352</v>
      </c>
      <c r="O40" s="330">
        <f>'Table 1 - Detailed'!I40-I40</f>
        <v>0.17373737373737352</v>
      </c>
      <c r="P40" s="305"/>
    </row>
    <row r="41" spans="1:16" x14ac:dyDescent="0.3">
      <c r="A41" s="368" t="s">
        <v>105</v>
      </c>
      <c r="B41" s="25" t="s">
        <v>1</v>
      </c>
      <c r="C41" s="49"/>
      <c r="D41" s="129">
        <f>SUM(D34:D40)</f>
        <v>6.2316957571607334</v>
      </c>
      <c r="E41" s="129">
        <f>SUM(E34:E40)</f>
        <v>11.007246677972326</v>
      </c>
      <c r="F41" s="129">
        <f t="shared" ref="F41:I41" si="6">SUM(F34:F40)</f>
        <v>13.474654068467459</v>
      </c>
      <c r="G41" s="129">
        <f t="shared" si="6"/>
        <v>13.811332305388579</v>
      </c>
      <c r="H41" s="129">
        <f t="shared" si="6"/>
        <v>31.630950949636564</v>
      </c>
      <c r="I41" s="130">
        <f t="shared" si="6"/>
        <v>31.630950949636564</v>
      </c>
      <c r="J41" s="129">
        <f>'Table 1 - Detailed'!D41-D41</f>
        <v>0</v>
      </c>
      <c r="K41" s="129">
        <f>'Table 1 - Detailed'!E41-E41</f>
        <v>6.0000000000000497E-2</v>
      </c>
      <c r="L41" s="129">
        <f>'Table 1 - Detailed'!F41-F41</f>
        <v>0.29999999999999716</v>
      </c>
      <c r="M41" s="129">
        <f>'Table 1 - Detailed'!G41-G41</f>
        <v>0.30000000000000249</v>
      </c>
      <c r="N41" s="129">
        <f>'Table 1 - Detailed'!H41-H41</f>
        <v>0.26999999999999602</v>
      </c>
      <c r="O41" s="130">
        <f>'Table 1 - Detailed'!I41-I41</f>
        <v>0.26999999999999602</v>
      </c>
      <c r="P41" s="59"/>
    </row>
    <row r="42" spans="1:16" x14ac:dyDescent="0.3">
      <c r="A42" s="368" t="s">
        <v>301</v>
      </c>
      <c r="B42" s="25" t="s">
        <v>254</v>
      </c>
      <c r="C42" s="25" t="s">
        <v>302</v>
      </c>
      <c r="D42" s="268">
        <f>D22</f>
        <v>0.5</v>
      </c>
      <c r="E42" s="268">
        <f>E22</f>
        <v>0.5</v>
      </c>
      <c r="F42" s="268">
        <f t="shared" ref="F42:I42" si="7">F22</f>
        <v>0.5</v>
      </c>
      <c r="G42" s="268">
        <f t="shared" si="7"/>
        <v>0.5</v>
      </c>
      <c r="H42" s="268">
        <f t="shared" si="7"/>
        <v>0.5</v>
      </c>
      <c r="I42" s="269">
        <f t="shared" si="7"/>
        <v>0.5</v>
      </c>
      <c r="J42" s="129">
        <f>'Table 1 - Detailed'!D42-D42</f>
        <v>0</v>
      </c>
      <c r="K42" s="129">
        <f>'Table 1 - Detailed'!E42-E42</f>
        <v>0</v>
      </c>
      <c r="L42" s="129">
        <f>'Table 1 - Detailed'!F42-F42</f>
        <v>0</v>
      </c>
      <c r="M42" s="129">
        <f>'Table 1 - Detailed'!G42-G42</f>
        <v>0</v>
      </c>
      <c r="N42" s="129">
        <f>'Table 1 - Detailed'!H42-H42</f>
        <v>0</v>
      </c>
      <c r="O42" s="130">
        <f>'Table 1 - Detailed'!I42-I42</f>
        <v>0</v>
      </c>
      <c r="P42" s="59"/>
    </row>
    <row r="43" spans="1:16" ht="15" thickBot="1" x14ac:dyDescent="0.35">
      <c r="A43" s="359" t="s">
        <v>108</v>
      </c>
      <c r="B43" s="333" t="s">
        <v>1</v>
      </c>
      <c r="C43" s="334"/>
      <c r="D43" s="233">
        <f>IF(D41&gt;0,(D41-D33)*D42+D33,D33)</f>
        <v>5.9121455950077291</v>
      </c>
      <c r="E43" s="233">
        <f>IF(E41&gt;0,(E41-E33)*E42+E33,E33)</f>
        <v>10.549647221906092</v>
      </c>
      <c r="F43" s="233">
        <f t="shared" ref="F43:I43" si="8">IF(F41&gt;0,(F41-F33)*F42+F33,F33)</f>
        <v>13.324991955354779</v>
      </c>
      <c r="G43" s="233">
        <f t="shared" si="8"/>
        <v>14.093624105914202</v>
      </c>
      <c r="H43" s="233">
        <f t="shared" si="8"/>
        <v>32.002284366697765</v>
      </c>
      <c r="I43" s="234">
        <f t="shared" si="8"/>
        <v>32.002284366697765</v>
      </c>
      <c r="J43" s="233">
        <f>'Table 1 - Detailed'!D43-D43</f>
        <v>-8.5003390198792772E-2</v>
      </c>
      <c r="K43" s="233">
        <f>'Table 1 - Detailed'!E43-E43</f>
        <v>-8.4510981355087722E-2</v>
      </c>
      <c r="L43" s="233">
        <f>'Table 1 - Detailed'!F43-F43</f>
        <v>0.12596838785767517</v>
      </c>
      <c r="M43" s="233">
        <f>'Table 1 - Detailed'!G43-G43</f>
        <v>9.4566425101668017E-2</v>
      </c>
      <c r="N43" s="233">
        <f>'Table 1 - Detailed'!H43-H43</f>
        <v>3.4395996207031487E-2</v>
      </c>
      <c r="O43" s="234">
        <f>'Table 1 - Detailed'!I43-I43</f>
        <v>3.4395996207031487E-2</v>
      </c>
      <c r="P43" s="60"/>
    </row>
    <row r="44" spans="1:16" x14ac:dyDescent="0.3">
      <c r="A44" s="358" t="s">
        <v>256</v>
      </c>
      <c r="B44" s="45" t="s">
        <v>254</v>
      </c>
      <c r="C44" s="51"/>
      <c r="D44" s="514">
        <f>'Table 1 - Detailed'!D44</f>
        <v>0.85</v>
      </c>
      <c r="E44" s="514">
        <f>'Table 1 - Detailed'!E44</f>
        <v>0.85</v>
      </c>
      <c r="F44" s="516">
        <f>'Table 1 - Detailed'!F44</f>
        <v>0.85</v>
      </c>
      <c r="G44" s="516">
        <f>'Table 1 - Detailed'!G44</f>
        <v>0.85</v>
      </c>
      <c r="H44" s="516">
        <f>'Table 1 - Detailed'!H44</f>
        <v>0.85</v>
      </c>
      <c r="I44" s="515">
        <f>'Table 1 - Detailed'!I44</f>
        <v>0.85</v>
      </c>
      <c r="J44" s="46">
        <f>'Table 1 - Detailed'!D44-D44</f>
        <v>0</v>
      </c>
      <c r="K44" s="46">
        <f>'Table 1 - Detailed'!E44-E44</f>
        <v>0</v>
      </c>
      <c r="L44" s="46">
        <f>'Table 1 - Detailed'!F44-F44</f>
        <v>0</v>
      </c>
      <c r="M44" s="46">
        <f>'Table 1 - Detailed'!G44-G44</f>
        <v>0</v>
      </c>
      <c r="N44" s="46">
        <f>'Table 1 - Detailed'!H44-H44</f>
        <v>0</v>
      </c>
      <c r="O44" s="47">
        <f>'Table 1 - Detailed'!I44-I44</f>
        <v>0</v>
      </c>
      <c r="P44" s="67"/>
    </row>
    <row r="45" spans="1:16" ht="15" thickBot="1" x14ac:dyDescent="0.35">
      <c r="A45" s="356" t="s">
        <v>109</v>
      </c>
      <c r="B45" s="331" t="s">
        <v>1</v>
      </c>
      <c r="C45" s="332"/>
      <c r="D45" s="233">
        <f>(1-D44)*D43</f>
        <v>0.88682183925115954</v>
      </c>
      <c r="E45" s="233">
        <f>(1-E44)*E43</f>
        <v>1.5824470832859141</v>
      </c>
      <c r="F45" s="233">
        <f t="shared" ref="F45:I45" si="9">(1-F44)*F43</f>
        <v>1.9987487933032171</v>
      </c>
      <c r="G45" s="233">
        <f t="shared" si="9"/>
        <v>2.1140436158871307</v>
      </c>
      <c r="H45" s="233">
        <f t="shared" si="9"/>
        <v>4.8003426550046653</v>
      </c>
      <c r="I45" s="234">
        <f t="shared" si="9"/>
        <v>4.8003426550046653</v>
      </c>
      <c r="J45" s="233">
        <f>'Table 1 - Detailed'!D45-D45</f>
        <v>-1.275050852981896E-2</v>
      </c>
      <c r="K45" s="233">
        <f>'Table 1 - Detailed'!E45-E45</f>
        <v>-1.2676647203263336E-2</v>
      </c>
      <c r="L45" s="233">
        <f>'Table 1 - Detailed'!F45-F45</f>
        <v>1.8895258178651231E-2</v>
      </c>
      <c r="M45" s="233">
        <f>'Table 1 - Detailed'!G45-G45</f>
        <v>1.4184963765250025E-2</v>
      </c>
      <c r="N45" s="233">
        <f>'Table 1 - Detailed'!H45-H45</f>
        <v>5.159399431055256E-3</v>
      </c>
      <c r="O45" s="234">
        <f>'Table 1 - Detailed'!I45-I45</f>
        <v>5.159399431055256E-3</v>
      </c>
      <c r="P45" s="60"/>
    </row>
    <row r="46" spans="1:16" x14ac:dyDescent="0.3">
      <c r="A46" s="355" t="s">
        <v>0</v>
      </c>
      <c r="B46" s="29" t="s">
        <v>1</v>
      </c>
      <c r="C46" s="180" t="s">
        <v>2</v>
      </c>
      <c r="D46" s="129">
        <f>D25+D45</f>
        <v>38.720617137267901</v>
      </c>
      <c r="E46" s="129">
        <f>E25+E45</f>
        <v>40.244744275853385</v>
      </c>
      <c r="F46" s="129">
        <f t="shared" ref="F46:I46" si="10">F25+F45</f>
        <v>42.540963017794681</v>
      </c>
      <c r="G46" s="129">
        <f t="shared" si="10"/>
        <v>39.776848752294931</v>
      </c>
      <c r="H46" s="129">
        <f t="shared" si="10"/>
        <v>41.534645646082765</v>
      </c>
      <c r="I46" s="130">
        <f t="shared" si="10"/>
        <v>41.534645646082765</v>
      </c>
      <c r="J46" s="129">
        <f>'Table 1 - Detailed'!D46-D46</f>
        <v>-0.8421391766122639</v>
      </c>
      <c r="K46" s="129">
        <f>'Table 1 - Detailed'!E46-E46</f>
        <v>-0.77137555492409859</v>
      </c>
      <c r="L46" s="129">
        <f>'Table 1 - Detailed'!F46-F46</f>
        <v>-0.76237205116017037</v>
      </c>
      <c r="M46" s="129">
        <f>'Table 1 - Detailed'!G46-G46</f>
        <v>-0.73525605332118005</v>
      </c>
      <c r="N46" s="129">
        <f>'Table 1 - Detailed'!H46-H46</f>
        <v>-0.75045902213207683</v>
      </c>
      <c r="O46" s="130">
        <f>'Table 1 - Detailed'!I46-I46</f>
        <v>-0.75045902213207683</v>
      </c>
      <c r="P46" s="67"/>
    </row>
    <row r="47" spans="1:16" outlineLevel="1" x14ac:dyDescent="0.3">
      <c r="A47" s="351" t="s">
        <v>4</v>
      </c>
      <c r="B47" s="335" t="s">
        <v>1</v>
      </c>
      <c r="C47" s="336"/>
      <c r="D47" s="452">
        <f>'[5]Table 1 - Detailed'!D47</f>
        <v>56.378588536039111</v>
      </c>
      <c r="E47" s="452">
        <f>'[5]Table 1 - Detailed'!E47</f>
        <v>52.598230496124948</v>
      </c>
      <c r="F47" s="452">
        <f>'[5]Table 1 - Detailed'!F47</f>
        <v>48.924009231403403</v>
      </c>
      <c r="G47" s="452">
        <f>'[5]Table 1 - Detailed'!G47</f>
        <v>45.275646283427264</v>
      </c>
      <c r="H47" s="452">
        <f>'[5]Table 1 - Detailed'!H47</f>
        <v>41.156481480892062</v>
      </c>
      <c r="I47" s="452">
        <f>'[5]Table 1 - Detailed'!I47</f>
        <v>41.156481480892062</v>
      </c>
      <c r="J47" s="337">
        <f>'Table 1 - Detailed'!D47-D47</f>
        <v>0</v>
      </c>
      <c r="K47" s="337">
        <f>'Table 1 - Detailed'!E47-E47</f>
        <v>0</v>
      </c>
      <c r="L47" s="337">
        <f>'Table 1 - Detailed'!F47-F47</f>
        <v>0</v>
      </c>
      <c r="M47" s="337">
        <f>'Table 1 - Detailed'!G47-G47</f>
        <v>0</v>
      </c>
      <c r="N47" s="337">
        <f>'Table 1 - Detailed'!H47-H47</f>
        <v>0</v>
      </c>
      <c r="O47" s="338">
        <f>'Table 1 - Detailed'!I47-I47</f>
        <v>0</v>
      </c>
      <c r="P47" s="339"/>
    </row>
    <row r="48" spans="1:16" outlineLevel="1" x14ac:dyDescent="0.3">
      <c r="A48" s="352" t="s">
        <v>5</v>
      </c>
      <c r="B48" s="340" t="s">
        <v>1</v>
      </c>
      <c r="C48" s="341"/>
      <c r="D48" s="452">
        <f>'[5]Table 1 - Detailed'!D48</f>
        <v>32.208971542123763</v>
      </c>
      <c r="E48" s="452">
        <f>'[5]Table 1 - Detailed'!E48</f>
        <v>32.208971542123763</v>
      </c>
      <c r="F48" s="452">
        <f>'[5]Table 1 - Detailed'!F48</f>
        <v>32.208971542123763</v>
      </c>
      <c r="G48" s="452">
        <f>'[5]Table 1 - Detailed'!G48</f>
        <v>32.208971542123763</v>
      </c>
      <c r="H48" s="452">
        <f>'[5]Table 1 - Detailed'!H48</f>
        <v>32.208971542123763</v>
      </c>
      <c r="I48" s="452">
        <f>'[5]Table 1 - Detailed'!I48</f>
        <v>32.208971542123763</v>
      </c>
      <c r="J48" s="299">
        <f>'Table 1 - Detailed'!D48-D48</f>
        <v>0</v>
      </c>
      <c r="K48" s="299">
        <f>'Table 1 - Detailed'!E48-E48</f>
        <v>0</v>
      </c>
      <c r="L48" s="299">
        <f>'Table 1 - Detailed'!F48-F48</f>
        <v>0</v>
      </c>
      <c r="M48" s="299">
        <f>'Table 1 - Detailed'!G48-G48</f>
        <v>0</v>
      </c>
      <c r="N48" s="299">
        <f>'Table 1 - Detailed'!H48-H48</f>
        <v>0</v>
      </c>
      <c r="O48" s="300">
        <f>'Table 1 - Detailed'!I48-I48</f>
        <v>0</v>
      </c>
      <c r="P48" s="301"/>
    </row>
    <row r="49" spans="1:16" outlineLevel="1" x14ac:dyDescent="0.3">
      <c r="A49" s="353" t="s">
        <v>6</v>
      </c>
      <c r="B49" s="342" t="s">
        <v>1</v>
      </c>
      <c r="C49" s="343"/>
      <c r="D49" s="452">
        <f>'[5]Table 1 - Detailed'!D49</f>
        <v>0</v>
      </c>
      <c r="E49" s="452">
        <f>'[5]Table 1 - Detailed'!E49</f>
        <v>3.0925183392645965</v>
      </c>
      <c r="F49" s="452">
        <f>'[5]Table 1 - Detailed'!F49</f>
        <v>6.3379098383251087</v>
      </c>
      <c r="G49" s="452">
        <f>'[5]Table 1 - Detailed'!G49</f>
        <v>9.7838391909265923</v>
      </c>
      <c r="H49" s="452">
        <f>'[5]Table 1 - Detailed'!H49</f>
        <v>13.017424616603769</v>
      </c>
      <c r="I49" s="452">
        <f>'[5]Table 1 - Detailed'!I49</f>
        <v>13.017424616603769</v>
      </c>
      <c r="J49" s="303">
        <f>'Table 1 - Detailed'!D49-D49</f>
        <v>0</v>
      </c>
      <c r="K49" s="303">
        <f>'Table 1 - Detailed'!E49-E49</f>
        <v>-6.69513934415642E-2</v>
      </c>
      <c r="L49" s="303">
        <f>'Table 1 - Detailed'!F49-F49</f>
        <v>-0.12832398955627689</v>
      </c>
      <c r="M49" s="303">
        <f>'Table 1 - Detailed'!G49-G49</f>
        <v>-0.18749898074363891</v>
      </c>
      <c r="N49" s="303">
        <f>'Table 1 - Detailed'!H49-H49</f>
        <v>-0.24475959406014525</v>
      </c>
      <c r="O49" s="304">
        <f>'Table 1 - Detailed'!I49-I49</f>
        <v>-0.24475959406014525</v>
      </c>
      <c r="P49" s="305"/>
    </row>
    <row r="50" spans="1:16" x14ac:dyDescent="0.3">
      <c r="A50" s="354" t="s">
        <v>3</v>
      </c>
      <c r="B50" s="9" t="s">
        <v>1</v>
      </c>
      <c r="C50" s="53" t="s">
        <v>16</v>
      </c>
      <c r="D50" s="131">
        <f>D47+D48+D49</f>
        <v>88.58756007816288</v>
      </c>
      <c r="E50" s="131">
        <f>E47+E48+E49</f>
        <v>87.899720377513304</v>
      </c>
      <c r="F50" s="131">
        <f t="shared" ref="F50:I50" si="11">F47+F48+F49</f>
        <v>87.470890611852269</v>
      </c>
      <c r="G50" s="131">
        <f t="shared" si="11"/>
        <v>87.268457016477612</v>
      </c>
      <c r="H50" s="131">
        <f t="shared" si="11"/>
        <v>86.382877639619579</v>
      </c>
      <c r="I50" s="132">
        <f t="shared" si="11"/>
        <v>86.382877639619579</v>
      </c>
      <c r="J50" s="131">
        <f>'Table 1 - Detailed'!D50-D50</f>
        <v>0</v>
      </c>
      <c r="K50" s="131">
        <f>'Table 1 - Detailed'!E50-E50</f>
        <v>-6.6951393441570417E-2</v>
      </c>
      <c r="L50" s="131">
        <f>'Table 1 - Detailed'!F50-F50</f>
        <v>-0.12832398955626445</v>
      </c>
      <c r="M50" s="131">
        <f>'Table 1 - Detailed'!G50-G50</f>
        <v>-0.18749898074362648</v>
      </c>
      <c r="N50" s="131">
        <f>'Table 1 - Detailed'!H50-H50</f>
        <v>-0.24475959406014169</v>
      </c>
      <c r="O50" s="132">
        <f>'Table 1 - Detailed'!I50-I50</f>
        <v>-0.24475959406014169</v>
      </c>
      <c r="P50" s="59"/>
    </row>
    <row r="51" spans="1:16" outlineLevel="1" x14ac:dyDescent="0.3">
      <c r="A51" s="351" t="s">
        <v>7</v>
      </c>
      <c r="B51" s="335" t="s">
        <v>8</v>
      </c>
      <c r="C51" s="336"/>
      <c r="D51" s="473">
        <f>'[5]Table 1 - Detailed'!D51</f>
        <v>3.97335776E-2</v>
      </c>
      <c r="E51" s="473">
        <f>'[5]Table 1 - Detailed'!E51</f>
        <v>4.1370183200000001E-2</v>
      </c>
      <c r="F51" s="473">
        <f>'[5]Table 1 - Detailed'!F51</f>
        <v>4.1450170800000005E-2</v>
      </c>
      <c r="G51" s="473">
        <f>'[5]Table 1 - Detailed'!G51</f>
        <v>4.15681044E-2</v>
      </c>
      <c r="H51" s="473">
        <f>'[5]Table 1 - Detailed'!H51</f>
        <v>4.1755693600000005E-2</v>
      </c>
      <c r="I51" s="473">
        <f>'[5]Table 1 - Detailed'!I51</f>
        <v>4.1755693600000005E-2</v>
      </c>
      <c r="J51" s="344">
        <f>'Table 1 - Detailed'!D51-D51</f>
        <v>0</v>
      </c>
      <c r="K51" s="344">
        <f>'Table 1 - Detailed'!E51-E51</f>
        <v>0</v>
      </c>
      <c r="L51" s="344">
        <f>'Table 1 - Detailed'!F51-F51</f>
        <v>-5.2001240000000559E-4</v>
      </c>
      <c r="M51" s="344">
        <f>'Table 1 - Detailed'!G51-G51</f>
        <v>-4.544895999999965E-4</v>
      </c>
      <c r="N51" s="344">
        <f>'Table 1 - Detailed'!H51-H51</f>
        <v>-5.6483400000000711E-4</v>
      </c>
      <c r="O51" s="345">
        <f>'Table 1 - Detailed'!I51-I51</f>
        <v>-5.6483400000000711E-4</v>
      </c>
      <c r="P51" s="339"/>
    </row>
    <row r="52" spans="1:16" outlineLevel="1" x14ac:dyDescent="0.3">
      <c r="A52" s="352" t="s">
        <v>9</v>
      </c>
      <c r="B52" s="340" t="s">
        <v>10</v>
      </c>
      <c r="C52" s="341"/>
      <c r="D52" s="346">
        <f t="shared" ref="D52:I52" si="12">1 / (1 + D51)</f>
        <v>0.96178484714159518</v>
      </c>
      <c r="E52" s="346">
        <f t="shared" si="12"/>
        <v>0.96027331695548013</v>
      </c>
      <c r="F52" s="346">
        <f t="shared" si="12"/>
        <v>0.96019956406732399</v>
      </c>
      <c r="G52" s="346">
        <f t="shared" si="12"/>
        <v>0.96009084358055918</v>
      </c>
      <c r="H52" s="346">
        <f t="shared" si="12"/>
        <v>0.95991795978987671</v>
      </c>
      <c r="I52" s="347">
        <f t="shared" si="12"/>
        <v>0.95991795978987671</v>
      </c>
      <c r="J52" s="346">
        <f>'Table 1 - Detailed'!D52-D52</f>
        <v>0</v>
      </c>
      <c r="K52" s="346">
        <f>'Table 1 - Detailed'!E52-E52</f>
        <v>0</v>
      </c>
      <c r="L52" s="346">
        <f>'Table 1 - Detailed'!F52-F52</f>
        <v>4.7968221091521102E-4</v>
      </c>
      <c r="M52" s="346">
        <f>'Table 1 - Detailed'!G52-G52</f>
        <v>4.1911977449882176E-4</v>
      </c>
      <c r="N52" s="346">
        <f>'Table 1 - Detailed'!H52-H52</f>
        <v>5.2074439177118848E-4</v>
      </c>
      <c r="O52" s="347">
        <f>'Table 1 - Detailed'!I52-I52</f>
        <v>5.2074439177118848E-4</v>
      </c>
      <c r="P52" s="301"/>
    </row>
    <row r="53" spans="1:16" outlineLevel="1" x14ac:dyDescent="0.3">
      <c r="A53" s="352" t="s">
        <v>11</v>
      </c>
      <c r="B53" s="340" t="s">
        <v>1</v>
      </c>
      <c r="C53" s="341"/>
      <c r="D53" s="451">
        <f>'[5]Table 1 - Detailed'!D53</f>
        <v>1334.7604031656131</v>
      </c>
      <c r="E53" s="451">
        <f>'[5]Table 1 - Detailed'!E53</f>
        <v>1392.9033002458227</v>
      </c>
      <c r="F53" s="451">
        <f>'[5]Table 1 - Detailed'!F53</f>
        <v>1460.4992305010373</v>
      </c>
      <c r="G53" s="451">
        <f>'[5]Table 1 - Detailed'!G53</f>
        <v>1518.7421176400326</v>
      </c>
      <c r="H53" s="451">
        <f>'[5]Table 1 - Detailed'!H53</f>
        <v>1589.8009832259283</v>
      </c>
      <c r="I53" s="451">
        <f>'[5]Table 1 - Detailed'!I53</f>
        <v>1589.8009832259283</v>
      </c>
      <c r="J53" s="299">
        <f>'Table 1 - Detailed'!D53-D53</f>
        <v>-3.0128127048703846</v>
      </c>
      <c r="K53" s="299">
        <f>'Table 1 - Detailed'!E53-E53</f>
        <v>-5.7076281365907562</v>
      </c>
      <c r="L53" s="299">
        <f>'Table 1 - Detailed'!F53-F53</f>
        <v>-8.2421787504661097</v>
      </c>
      <c r="M53" s="299">
        <f>'Table 1 - Detailed'!G53-G53</f>
        <v>-10.631407368965256</v>
      </c>
      <c r="N53" s="299">
        <f>'Table 1 - Detailed'!H53-H53</f>
        <v>-13.03642194548911</v>
      </c>
      <c r="O53" s="300">
        <f>'Table 1 - Detailed'!I53-I53</f>
        <v>-13.03642194548911</v>
      </c>
      <c r="P53" s="301"/>
    </row>
    <row r="54" spans="1:16" outlineLevel="1" x14ac:dyDescent="0.3">
      <c r="A54" s="352" t="s">
        <v>13</v>
      </c>
      <c r="B54" s="340" t="s">
        <v>1</v>
      </c>
      <c r="C54" s="341"/>
      <c r="D54" s="451">
        <f>'[5]Table 1 - Detailed'!D54</f>
        <v>1284.184637976869</v>
      </c>
      <c r="E54" s="451">
        <f>'[5]Table 1 - Detailed'!E54</f>
        <v>1334.7604031656131</v>
      </c>
      <c r="F54" s="451">
        <f>'[5]Table 1 - Detailed'!F54</f>
        <v>1392.9033002458227</v>
      </c>
      <c r="G54" s="451">
        <f>'[5]Table 1 - Detailed'!G54</f>
        <v>1460.4992305010373</v>
      </c>
      <c r="H54" s="451">
        <f>'[5]Table 1 - Detailed'!H54</f>
        <v>1518.7421176400326</v>
      </c>
      <c r="I54" s="451">
        <f>'[5]Table 1 - Detailed'!I54</f>
        <v>1518.7421176400326</v>
      </c>
      <c r="J54" s="299">
        <f>'Table 1 - Detailed'!D54-D54</f>
        <v>0</v>
      </c>
      <c r="K54" s="299">
        <f>'Table 1 - Detailed'!E54-E54</f>
        <v>-3.0128127048703846</v>
      </c>
      <c r="L54" s="299">
        <f>'Table 1 - Detailed'!F54-F54</f>
        <v>-5.7076281365907562</v>
      </c>
      <c r="M54" s="299">
        <f>'Table 1 - Detailed'!G54-G54</f>
        <v>-8.2421787504661097</v>
      </c>
      <c r="N54" s="299">
        <f>'Table 1 - Detailed'!H54-H54</f>
        <v>-10.631407368965256</v>
      </c>
      <c r="O54" s="300">
        <f>'Table 1 - Detailed'!I54-I54</f>
        <v>-10.631407368965256</v>
      </c>
      <c r="P54" s="301"/>
    </row>
    <row r="55" spans="1:16" outlineLevel="1" x14ac:dyDescent="0.3">
      <c r="A55" s="352" t="s">
        <v>12</v>
      </c>
      <c r="B55" s="340" t="s">
        <v>1</v>
      </c>
      <c r="C55" s="341"/>
      <c r="D55" s="299">
        <f>D52 * D53</f>
        <v>1283.752330329293</v>
      </c>
      <c r="E55" s="299">
        <f>E52 * E53</f>
        <v>1337.5678723252913</v>
      </c>
      <c r="F55" s="299">
        <f t="shared" ref="F55:I55" si="13">F52 * F53</f>
        <v>1402.3707244477582</v>
      </c>
      <c r="G55" s="299">
        <f t="shared" si="13"/>
        <v>1458.1304009063438</v>
      </c>
      <c r="H55" s="299">
        <f t="shared" si="13"/>
        <v>1526.0785162901732</v>
      </c>
      <c r="I55" s="300">
        <f t="shared" si="13"/>
        <v>1526.0785162901732</v>
      </c>
      <c r="J55" s="299">
        <f>'Table 1 - Detailed'!D55-D55</f>
        <v>-2.8976776068200252</v>
      </c>
      <c r="K55" s="299">
        <f>'Table 1 - Detailed'!E55-E55</f>
        <v>-5.4808830026724991</v>
      </c>
      <c r="L55" s="299">
        <f>'Table 1 - Detailed'!F55-F55</f>
        <v>-7.2175145697615335</v>
      </c>
      <c r="M55" s="299">
        <f>'Table 1 - Detailed'!G55-G55</f>
        <v>-9.5750378485104193</v>
      </c>
      <c r="N55" s="299">
        <f>'Table 1 - Detailed'!H55-H55</f>
        <v>-11.692804254443672</v>
      </c>
      <c r="O55" s="300">
        <f>'Table 1 - Detailed'!I55-I55</f>
        <v>-11.692804254443672</v>
      </c>
      <c r="P55" s="301"/>
    </row>
    <row r="56" spans="1:16" outlineLevel="1" x14ac:dyDescent="0.3">
      <c r="A56" s="353" t="s">
        <v>14</v>
      </c>
      <c r="B56" s="342" t="s">
        <v>1</v>
      </c>
      <c r="C56" s="343"/>
      <c r="D56" s="303">
        <f t="shared" ref="D56:I56" si="14">AVERAGE(D54:D55)</f>
        <v>1283.9684841530811</v>
      </c>
      <c r="E56" s="303">
        <f t="shared" si="14"/>
        <v>1336.1641377454521</v>
      </c>
      <c r="F56" s="303">
        <f t="shared" si="14"/>
        <v>1397.6370123467905</v>
      </c>
      <c r="G56" s="303">
        <f t="shared" si="14"/>
        <v>1459.3148157036906</v>
      </c>
      <c r="H56" s="303">
        <f t="shared" si="14"/>
        <v>1522.410316965103</v>
      </c>
      <c r="I56" s="304">
        <f t="shared" si="14"/>
        <v>1522.410316965103</v>
      </c>
      <c r="J56" s="303">
        <f>'Table 1 - Detailed'!D56-D56</f>
        <v>-1.4488388034101263</v>
      </c>
      <c r="K56" s="303">
        <f>'Table 1 - Detailed'!E56-E56</f>
        <v>-4.2468478537712144</v>
      </c>
      <c r="L56" s="303">
        <f>'Table 1 - Detailed'!F56-F56</f>
        <v>-6.4625713531761448</v>
      </c>
      <c r="M56" s="303">
        <f>'Table 1 - Detailed'!G56-G56</f>
        <v>-8.9086082994883782</v>
      </c>
      <c r="N56" s="303">
        <f>'Table 1 - Detailed'!H56-H56</f>
        <v>-11.162105811704578</v>
      </c>
      <c r="O56" s="304">
        <f>'Table 1 - Detailed'!I56-I56</f>
        <v>-11.162105811704578</v>
      </c>
      <c r="P56" s="305"/>
    </row>
    <row r="57" spans="1:16" x14ac:dyDescent="0.3">
      <c r="A57" s="354" t="s">
        <v>15</v>
      </c>
      <c r="B57" s="9" t="s">
        <v>1</v>
      </c>
      <c r="C57" s="53" t="s">
        <v>17</v>
      </c>
      <c r="D57" s="131">
        <f>D56*D51</f>
        <v>51.016661401050818</v>
      </c>
      <c r="E57" s="131">
        <f>E56*E51</f>
        <v>55.277355163799385</v>
      </c>
      <c r="F57" s="131">
        <f t="shared" ref="F57:I57" si="15">F56*F51</f>
        <v>57.932292878176185</v>
      </c>
      <c r="G57" s="131">
        <f t="shared" si="15"/>
        <v>60.660950611637766</v>
      </c>
      <c r="H57" s="131">
        <f t="shared" si="15"/>
        <v>63.569298728673729</v>
      </c>
      <c r="I57" s="132">
        <f t="shared" si="15"/>
        <v>63.569298728673729</v>
      </c>
      <c r="J57" s="131">
        <f>'Table 1 - Detailed'!D57-D57</f>
        <v>-5.7567549025186793E-2</v>
      </c>
      <c r="K57" s="131">
        <f>'Table 1 - Detailed'!E57-E57</f>
        <v>-0.17569287373304121</v>
      </c>
      <c r="L57" s="131">
        <f>'Table 1 - Detailed'!F57-F57</f>
        <v>-0.99130264627609677</v>
      </c>
      <c r="M57" s="131">
        <f>'Table 1 - Detailed'!G57-G57</f>
        <v>-1.0295084968924826</v>
      </c>
      <c r="N57" s="131">
        <f>'Table 1 - Detailed'!H57-H57</f>
        <v>-1.3196858423029454</v>
      </c>
      <c r="O57" s="132">
        <f>'Table 1 - Detailed'!I57-I57</f>
        <v>-1.3196858423029454</v>
      </c>
      <c r="P57" s="59"/>
    </row>
    <row r="58" spans="1:16" outlineLevel="1" x14ac:dyDescent="0.3">
      <c r="A58" s="351" t="s">
        <v>19</v>
      </c>
      <c r="B58" s="335" t="s">
        <v>1</v>
      </c>
      <c r="C58" s="336" t="s">
        <v>20</v>
      </c>
      <c r="D58" s="472">
        <f>'[5]Table 1 - Detailed'!D58</f>
        <v>1.0815051396347761</v>
      </c>
      <c r="E58" s="472">
        <f>'[5]Table 1 - Detailed'!E58</f>
        <v>1.0920000000000001</v>
      </c>
      <c r="F58" s="472">
        <f>'[5]Table 1 - Detailed'!F58</f>
        <v>1.0920000000000001</v>
      </c>
      <c r="G58" s="472">
        <f>'[5]Table 1 - Detailed'!G58</f>
        <v>1.0920000000000001</v>
      </c>
      <c r="H58" s="472">
        <f>'[5]Table 1 - Detailed'!H58</f>
        <v>1.0920000000000001</v>
      </c>
      <c r="I58" s="472">
        <f>'[5]Table 1 - Detailed'!I58</f>
        <v>1.0920000000000001</v>
      </c>
      <c r="J58" s="337">
        <f>'Table 1 - Detailed'!D58-D58</f>
        <v>0</v>
      </c>
      <c r="K58" s="337">
        <f>'Table 1 - Detailed'!E58-E58</f>
        <v>0</v>
      </c>
      <c r="L58" s="337">
        <f>'Table 1 - Detailed'!F58-F58</f>
        <v>0</v>
      </c>
      <c r="M58" s="337">
        <f>'Table 1 - Detailed'!G58-G58</f>
        <v>0</v>
      </c>
      <c r="N58" s="337">
        <f>'Table 1 - Detailed'!H58-H58</f>
        <v>0</v>
      </c>
      <c r="O58" s="338">
        <f>'Table 1 - Detailed'!I58-I58</f>
        <v>0</v>
      </c>
      <c r="P58" s="339"/>
    </row>
    <row r="59" spans="1:16" outlineLevel="1" x14ac:dyDescent="0.3">
      <c r="A59" s="352" t="s">
        <v>21</v>
      </c>
      <c r="B59" s="340" t="s">
        <v>1</v>
      </c>
      <c r="C59" s="341" t="s">
        <v>22</v>
      </c>
      <c r="D59" s="472">
        <f>'[5]Table 1 - Detailed'!D59</f>
        <v>11.946297963704367</v>
      </c>
      <c r="E59" s="472">
        <f>'[5]Table 1 - Detailed'!E59</f>
        <v>14.056699999999999</v>
      </c>
      <c r="F59" s="472">
        <f>'[5]Table 1 - Detailed'!F59</f>
        <v>14.0793</v>
      </c>
      <c r="G59" s="472">
        <f>'[5]Table 1 - Detailed'!G59</f>
        <v>14.0383</v>
      </c>
      <c r="H59" s="472">
        <f>'[5]Table 1 - Detailed'!H59</f>
        <v>14.024699999999999</v>
      </c>
      <c r="I59" s="472">
        <f>'[5]Table 1 - Detailed'!I59</f>
        <v>14.024699999999999</v>
      </c>
      <c r="J59" s="299">
        <f>'Table 1 - Detailed'!D59-D59</f>
        <v>0</v>
      </c>
      <c r="K59" s="299">
        <f>'Table 1 - Detailed'!E59-E59</f>
        <v>0</v>
      </c>
      <c r="L59" s="299">
        <f>'Table 1 - Detailed'!F59-F59</f>
        <v>0</v>
      </c>
      <c r="M59" s="299">
        <f>'Table 1 - Detailed'!G59-G59</f>
        <v>0</v>
      </c>
      <c r="N59" s="299">
        <f>'Table 1 - Detailed'!H59-H59</f>
        <v>0</v>
      </c>
      <c r="O59" s="300">
        <f>'Table 1 - Detailed'!I59-I59</f>
        <v>0</v>
      </c>
      <c r="P59" s="301"/>
    </row>
    <row r="60" spans="1:16" outlineLevel="1" x14ac:dyDescent="0.3">
      <c r="A60" s="352" t="s">
        <v>23</v>
      </c>
      <c r="B60" s="340" t="s">
        <v>1</v>
      </c>
      <c r="C60" s="341" t="s">
        <v>24</v>
      </c>
      <c r="D60" s="472">
        <f>'[5]Table 1 - Detailed'!D60</f>
        <v>6.6503586080964148</v>
      </c>
      <c r="E60" s="472">
        <f>'[5]Table 1 - Detailed'!E60</f>
        <v>7.6444000000000001</v>
      </c>
      <c r="F60" s="472">
        <f>'[5]Table 1 - Detailed'!F60</f>
        <v>7.6444000000000001</v>
      </c>
      <c r="G60" s="472">
        <f>'[5]Table 1 - Detailed'!G60</f>
        <v>7.6444000000000001</v>
      </c>
      <c r="H60" s="472">
        <f>'[5]Table 1 - Detailed'!H60</f>
        <v>7.6444000000000001</v>
      </c>
      <c r="I60" s="472">
        <f>'[5]Table 1 - Detailed'!I60</f>
        <v>7.6444000000000001</v>
      </c>
      <c r="J60" s="299">
        <f>'Table 1 - Detailed'!D60-D60</f>
        <v>0</v>
      </c>
      <c r="K60" s="299">
        <f>'Table 1 - Detailed'!E60-E60</f>
        <v>0</v>
      </c>
      <c r="L60" s="299">
        <f>'Table 1 - Detailed'!F60-F60</f>
        <v>0</v>
      </c>
      <c r="M60" s="299">
        <f>'Table 1 - Detailed'!G60-G60</f>
        <v>0</v>
      </c>
      <c r="N60" s="299">
        <f>'Table 1 - Detailed'!H60-H60</f>
        <v>0</v>
      </c>
      <c r="O60" s="300">
        <f>'Table 1 - Detailed'!I60-I60</f>
        <v>0</v>
      </c>
      <c r="P60" s="301"/>
    </row>
    <row r="61" spans="1:16" outlineLevel="1" x14ac:dyDescent="0.3">
      <c r="A61" s="352" t="s">
        <v>25</v>
      </c>
      <c r="B61" s="340" t="s">
        <v>1</v>
      </c>
      <c r="C61" s="341" t="s">
        <v>26</v>
      </c>
      <c r="D61" s="472">
        <f>'[5]Table 1 - Detailed'!D61</f>
        <v>1.0487085938841185</v>
      </c>
      <c r="E61" s="472">
        <f>'[5]Table 1 - Detailed'!E61</f>
        <v>1.1356999999999999</v>
      </c>
      <c r="F61" s="472">
        <f>'[5]Table 1 - Detailed'!F61</f>
        <v>1.1396999999999999</v>
      </c>
      <c r="G61" s="472">
        <f>'[5]Table 1 - Detailed'!G61</f>
        <v>1.1328</v>
      </c>
      <c r="H61" s="472">
        <f>'[5]Table 1 - Detailed'!H61</f>
        <v>1.1369</v>
      </c>
      <c r="I61" s="472">
        <f>'[5]Table 1 - Detailed'!I61</f>
        <v>1.1369</v>
      </c>
      <c r="J61" s="299">
        <f>'Table 1 - Detailed'!D61-D61</f>
        <v>0</v>
      </c>
      <c r="K61" s="299">
        <f>'Table 1 - Detailed'!E61-E61</f>
        <v>0</v>
      </c>
      <c r="L61" s="299">
        <f>'Table 1 - Detailed'!F61-F61</f>
        <v>0</v>
      </c>
      <c r="M61" s="299">
        <f>'Table 1 - Detailed'!G61-G61</f>
        <v>0</v>
      </c>
      <c r="N61" s="299">
        <f>'Table 1 - Detailed'!H61-H61</f>
        <v>0</v>
      </c>
      <c r="O61" s="300">
        <f>'Table 1 - Detailed'!I61-I61</f>
        <v>0</v>
      </c>
      <c r="P61" s="301"/>
    </row>
    <row r="62" spans="1:16" outlineLevel="1" x14ac:dyDescent="0.3">
      <c r="A62" s="352" t="s">
        <v>27</v>
      </c>
      <c r="B62" s="340" t="s">
        <v>1</v>
      </c>
      <c r="C62" s="341" t="s">
        <v>28</v>
      </c>
      <c r="D62" s="472">
        <f>'[5]Table 1 - Detailed'!D62</f>
        <v>0.11111782048377519</v>
      </c>
      <c r="E62" s="472">
        <f>'[5]Table 1 - Detailed'!E62</f>
        <v>0.2591</v>
      </c>
      <c r="F62" s="472">
        <f>'[5]Table 1 - Detailed'!F62</f>
        <v>0.3513</v>
      </c>
      <c r="G62" s="472">
        <f>'[5]Table 1 - Detailed'!G62</f>
        <v>0.24859999999999999</v>
      </c>
      <c r="H62" s="472">
        <f>'[5]Table 1 - Detailed'!H62</f>
        <v>0.25090000000000001</v>
      </c>
      <c r="I62" s="472">
        <f>'[5]Table 1 - Detailed'!I62</f>
        <v>0.25090000000000001</v>
      </c>
      <c r="J62" s="299">
        <f>'Table 1 - Detailed'!D62-D62</f>
        <v>0</v>
      </c>
      <c r="K62" s="299">
        <f>'Table 1 - Detailed'!E62-E62</f>
        <v>0</v>
      </c>
      <c r="L62" s="299">
        <f>'Table 1 - Detailed'!F62-F62</f>
        <v>0</v>
      </c>
      <c r="M62" s="299">
        <f>'Table 1 - Detailed'!G62-G62</f>
        <v>0</v>
      </c>
      <c r="N62" s="299">
        <f>'Table 1 - Detailed'!H62-H62</f>
        <v>0</v>
      </c>
      <c r="O62" s="300">
        <f>'Table 1 - Detailed'!I62-I62</f>
        <v>0</v>
      </c>
      <c r="P62" s="301"/>
    </row>
    <row r="63" spans="1:16" outlineLevel="1" x14ac:dyDescent="0.3">
      <c r="A63" s="352" t="s">
        <v>29</v>
      </c>
      <c r="B63" s="340" t="s">
        <v>1</v>
      </c>
      <c r="C63" s="341" t="s">
        <v>30</v>
      </c>
      <c r="D63" s="472">
        <f>'[5]Table 1 - Detailed'!D63</f>
        <v>1.1088355944269906E-2</v>
      </c>
      <c r="E63" s="472">
        <f>'[5]Table 1 - Detailed'!E63</f>
        <v>2.1700000000000001E-2</v>
      </c>
      <c r="F63" s="472">
        <f>'[5]Table 1 - Detailed'!F63</f>
        <v>2.1700000000000001E-2</v>
      </c>
      <c r="G63" s="472">
        <f>'[5]Table 1 - Detailed'!G63</f>
        <v>2.1700000000000001E-2</v>
      </c>
      <c r="H63" s="472">
        <f>'[5]Table 1 - Detailed'!H63</f>
        <v>2.1700000000000001E-2</v>
      </c>
      <c r="I63" s="472">
        <f>'[5]Table 1 - Detailed'!I63</f>
        <v>2.1700000000000001E-2</v>
      </c>
      <c r="J63" s="299">
        <f>'Table 1 - Detailed'!D63-D63</f>
        <v>0</v>
      </c>
      <c r="K63" s="299">
        <f>'Table 1 - Detailed'!E63-E63</f>
        <v>0</v>
      </c>
      <c r="L63" s="299">
        <f>'Table 1 - Detailed'!F63-F63</f>
        <v>0</v>
      </c>
      <c r="M63" s="299">
        <f>'Table 1 - Detailed'!G63-G63</f>
        <v>0</v>
      </c>
      <c r="N63" s="299">
        <f>'Table 1 - Detailed'!H63-H63</f>
        <v>0</v>
      </c>
      <c r="O63" s="300">
        <f>'Table 1 - Detailed'!I63-I63</f>
        <v>0</v>
      </c>
      <c r="P63" s="301"/>
    </row>
    <row r="64" spans="1:16" outlineLevel="1" x14ac:dyDescent="0.3">
      <c r="A64" s="352" t="s">
        <v>31</v>
      </c>
      <c r="B64" s="340" t="s">
        <v>1</v>
      </c>
      <c r="C64" s="341" t="s">
        <v>32</v>
      </c>
      <c r="D64" s="472">
        <f>'[5]Table 1 - Detailed'!D64</f>
        <v>8.0677159936206611</v>
      </c>
      <c r="E64" s="472">
        <f>'[5]Table 1 - Detailed'!E64</f>
        <v>0.255</v>
      </c>
      <c r="F64" s="472">
        <f>'[5]Table 1 - Detailed'!F64</f>
        <v>0</v>
      </c>
      <c r="G64" s="472">
        <f>'[5]Table 1 - Detailed'!G64</f>
        <v>0</v>
      </c>
      <c r="H64" s="472">
        <f>'[5]Table 1 - Detailed'!H64</f>
        <v>0</v>
      </c>
      <c r="I64" s="472">
        <f>'[5]Table 1 - Detailed'!I64</f>
        <v>0</v>
      </c>
      <c r="J64" s="299">
        <f>'Table 1 - Detailed'!D64-D64</f>
        <v>0</v>
      </c>
      <c r="K64" s="299">
        <f>'Table 1 - Detailed'!E64-E64</f>
        <v>-8.5843553579295628E-4</v>
      </c>
      <c r="L64" s="299">
        <f>'Table 1 - Detailed'!F64-F64</f>
        <v>-0.29839436380423456</v>
      </c>
      <c r="M64" s="299">
        <f>'Table 1 - Detailed'!G64-G64</f>
        <v>0</v>
      </c>
      <c r="N64" s="299">
        <f>'Table 1 - Detailed'!H64-H64</f>
        <v>0</v>
      </c>
      <c r="O64" s="300">
        <f>'Table 1 - Detailed'!I64-I64</f>
        <v>0</v>
      </c>
      <c r="P64" s="301"/>
    </row>
    <row r="65" spans="1:16" outlineLevel="1" x14ac:dyDescent="0.3">
      <c r="A65" s="352" t="s">
        <v>33</v>
      </c>
      <c r="B65" s="340" t="s">
        <v>1</v>
      </c>
      <c r="C65" s="341" t="s">
        <v>34</v>
      </c>
      <c r="D65" s="472">
        <f>'[5]Table 1 - Detailed'!D65</f>
        <v>5.7784390132110787E-3</v>
      </c>
      <c r="E65" s="472">
        <f>'[5]Table 1 - Detailed'!E65</f>
        <v>1.7500000000000002E-2</v>
      </c>
      <c r="F65" s="472">
        <f>'[5]Table 1 - Detailed'!F65</f>
        <v>0</v>
      </c>
      <c r="G65" s="472">
        <f>'[5]Table 1 - Detailed'!G65</f>
        <v>0</v>
      </c>
      <c r="H65" s="472">
        <f>'[5]Table 1 - Detailed'!H65</f>
        <v>0</v>
      </c>
      <c r="I65" s="472">
        <f>'[5]Table 1 - Detailed'!I65</f>
        <v>0</v>
      </c>
      <c r="J65" s="299">
        <f>'Table 1 - Detailed'!D65-D65</f>
        <v>0</v>
      </c>
      <c r="K65" s="299">
        <f>'Table 1 - Detailed'!E65-E65</f>
        <v>0</v>
      </c>
      <c r="L65" s="299">
        <f>'Table 1 - Detailed'!F65-F65</f>
        <v>0</v>
      </c>
      <c r="M65" s="299">
        <f>'Table 1 - Detailed'!G65-G65</f>
        <v>0</v>
      </c>
      <c r="N65" s="299">
        <f>'Table 1 - Detailed'!H65-H65</f>
        <v>0</v>
      </c>
      <c r="O65" s="300">
        <f>'Table 1 - Detailed'!I65-I65</f>
        <v>0</v>
      </c>
      <c r="P65" s="301"/>
    </row>
    <row r="66" spans="1:16" outlineLevel="1" x14ac:dyDescent="0.3">
      <c r="A66" s="352" t="s">
        <v>35</v>
      </c>
      <c r="B66" s="340" t="s">
        <v>1</v>
      </c>
      <c r="C66" s="341" t="s">
        <v>36</v>
      </c>
      <c r="D66" s="472">
        <f>'[5]Table 1 - Detailed'!D66</f>
        <v>0</v>
      </c>
      <c r="E66" s="472">
        <f>'[5]Table 1 - Detailed'!E66</f>
        <v>-0.5</v>
      </c>
      <c r="F66" s="472">
        <f>'[5]Table 1 - Detailed'!F66</f>
        <v>-0.5</v>
      </c>
      <c r="G66" s="472">
        <f>'[5]Table 1 - Detailed'!G66</f>
        <v>-0.5</v>
      </c>
      <c r="H66" s="472">
        <f>'[5]Table 1 - Detailed'!H66</f>
        <v>-0.5</v>
      </c>
      <c r="I66" s="472">
        <f>'[5]Table 1 - Detailed'!I66</f>
        <v>-0.5</v>
      </c>
      <c r="J66" s="299">
        <f>'Table 1 - Detailed'!D66-D66</f>
        <v>0</v>
      </c>
      <c r="K66" s="299">
        <f>'Table 1 - Detailed'!E66-E66</f>
        <v>0</v>
      </c>
      <c r="L66" s="299">
        <f>'Table 1 - Detailed'!F66-F66</f>
        <v>0</v>
      </c>
      <c r="M66" s="299">
        <f>'Table 1 - Detailed'!G66-G66</f>
        <v>0</v>
      </c>
      <c r="N66" s="299">
        <f>'Table 1 - Detailed'!H66-H66</f>
        <v>0</v>
      </c>
      <c r="O66" s="300">
        <f>'Table 1 - Detailed'!I66-I66</f>
        <v>0</v>
      </c>
      <c r="P66" s="301"/>
    </row>
    <row r="67" spans="1:16" outlineLevel="1" x14ac:dyDescent="0.3">
      <c r="A67" s="352" t="s">
        <v>37</v>
      </c>
      <c r="B67" s="340" t="s">
        <v>1</v>
      </c>
      <c r="C67" s="341" t="s">
        <v>38</v>
      </c>
      <c r="D67" s="472">
        <f>'[5]Table 1 - Detailed'!D67</f>
        <v>0</v>
      </c>
      <c r="E67" s="472">
        <f>'[5]Table 1 - Detailed'!E67</f>
        <v>0</v>
      </c>
      <c r="F67" s="472">
        <f>'[5]Table 1 - Detailed'!F67</f>
        <v>0</v>
      </c>
      <c r="G67" s="472">
        <f>'[5]Table 1 - Detailed'!G67</f>
        <v>0</v>
      </c>
      <c r="H67" s="472">
        <f>'[5]Table 1 - Detailed'!H67</f>
        <v>0</v>
      </c>
      <c r="I67" s="472">
        <f>'[5]Table 1 - Detailed'!I67</f>
        <v>0</v>
      </c>
      <c r="J67" s="299">
        <f>'Table 1 - Detailed'!D67-D67</f>
        <v>0</v>
      </c>
      <c r="K67" s="299">
        <f>'Table 1 - Detailed'!E67-E67</f>
        <v>0</v>
      </c>
      <c r="L67" s="299">
        <f>'Table 1 - Detailed'!F67-F67</f>
        <v>0</v>
      </c>
      <c r="M67" s="299">
        <f>'Table 1 - Detailed'!G67-G67</f>
        <v>0</v>
      </c>
      <c r="N67" s="299">
        <f>'Table 1 - Detailed'!H67-H67</f>
        <v>0</v>
      </c>
      <c r="O67" s="300">
        <f>'Table 1 - Detailed'!I67-I67</f>
        <v>0</v>
      </c>
      <c r="P67" s="301"/>
    </row>
    <row r="68" spans="1:16" outlineLevel="1" x14ac:dyDescent="0.3">
      <c r="A68" s="352" t="s">
        <v>39</v>
      </c>
      <c r="B68" s="340" t="s">
        <v>1</v>
      </c>
      <c r="C68" s="341" t="s">
        <v>40</v>
      </c>
      <c r="D68" s="472">
        <f>'[5]Table 1 - Detailed'!D68</f>
        <v>0</v>
      </c>
      <c r="E68" s="472">
        <f>'[5]Table 1 - Detailed'!E68</f>
        <v>0</v>
      </c>
      <c r="F68" s="472">
        <f>'[5]Table 1 - Detailed'!F68</f>
        <v>0</v>
      </c>
      <c r="G68" s="472">
        <f>'[5]Table 1 - Detailed'!G68</f>
        <v>0</v>
      </c>
      <c r="H68" s="472">
        <f>'[5]Table 1 - Detailed'!H68</f>
        <v>0</v>
      </c>
      <c r="I68" s="472">
        <f>'[5]Table 1 - Detailed'!I68</f>
        <v>0</v>
      </c>
      <c r="J68" s="299">
        <f>'Table 1 - Detailed'!D68-D68</f>
        <v>0</v>
      </c>
      <c r="K68" s="299">
        <f>'Table 1 - Detailed'!E68-E68</f>
        <v>0</v>
      </c>
      <c r="L68" s="299">
        <f>'Table 1 - Detailed'!F68-F68</f>
        <v>0</v>
      </c>
      <c r="M68" s="299">
        <f>'Table 1 - Detailed'!G68-G68</f>
        <v>0</v>
      </c>
      <c r="N68" s="299">
        <f>'Table 1 - Detailed'!H68-H68</f>
        <v>0</v>
      </c>
      <c r="O68" s="300">
        <f>'Table 1 - Detailed'!I68-I68</f>
        <v>0</v>
      </c>
      <c r="P68" s="301"/>
    </row>
    <row r="69" spans="1:16" outlineLevel="1" x14ac:dyDescent="0.3">
      <c r="A69" s="353" t="s">
        <v>41</v>
      </c>
      <c r="B69" s="342" t="s">
        <v>1</v>
      </c>
      <c r="C69" s="343" t="s">
        <v>42</v>
      </c>
      <c r="D69" s="472">
        <f>'[5]Table 1 - Detailed'!D69</f>
        <v>0</v>
      </c>
      <c r="E69" s="472">
        <f>'[5]Table 1 - Detailed'!E69</f>
        <v>0</v>
      </c>
      <c r="F69" s="472">
        <f>'[5]Table 1 - Detailed'!F69</f>
        <v>0</v>
      </c>
      <c r="G69" s="472">
        <f>'[5]Table 1 - Detailed'!G69</f>
        <v>0</v>
      </c>
      <c r="H69" s="472">
        <f>'[5]Table 1 - Detailed'!H69</f>
        <v>0</v>
      </c>
      <c r="I69" s="472">
        <f>'[5]Table 1 - Detailed'!I69</f>
        <v>0</v>
      </c>
      <c r="J69" s="303">
        <f>'Table 1 - Detailed'!D69-D69</f>
        <v>0</v>
      </c>
      <c r="K69" s="303">
        <f>'Table 1 - Detailed'!E69-E69</f>
        <v>0</v>
      </c>
      <c r="L69" s="303">
        <f>'Table 1 - Detailed'!F69-F69</f>
        <v>0</v>
      </c>
      <c r="M69" s="303">
        <f>'Table 1 - Detailed'!G69-G69</f>
        <v>0</v>
      </c>
      <c r="N69" s="303">
        <f>'Table 1 - Detailed'!H69-H69</f>
        <v>0</v>
      </c>
      <c r="O69" s="304">
        <f>'Table 1 - Detailed'!I69-I69</f>
        <v>0</v>
      </c>
      <c r="P69" s="305"/>
    </row>
    <row r="70" spans="1:16" x14ac:dyDescent="0.3">
      <c r="A70" s="354" t="s">
        <v>43</v>
      </c>
      <c r="B70" s="9" t="s">
        <v>1</v>
      </c>
      <c r="C70" s="53" t="s">
        <v>18</v>
      </c>
      <c r="D70" s="131">
        <f>SUM(D58:D66,D68)-D67-D69</f>
        <v>28.922570914381595</v>
      </c>
      <c r="E70" s="131">
        <f>SUM(E58:E66,E68)-E67-E69</f>
        <v>23.982099999999996</v>
      </c>
      <c r="F70" s="131">
        <f t="shared" ref="F70:I70" si="16">SUM(F58:F66,F68)-F67-F69</f>
        <v>23.828399999999998</v>
      </c>
      <c r="G70" s="131">
        <f t="shared" si="16"/>
        <v>23.677799999999998</v>
      </c>
      <c r="H70" s="131">
        <f t="shared" si="16"/>
        <v>23.6706</v>
      </c>
      <c r="I70" s="132">
        <f t="shared" si="16"/>
        <v>23.6706</v>
      </c>
      <c r="J70" s="131">
        <f>'Table 1 - Detailed'!D70-D70</f>
        <v>0</v>
      </c>
      <c r="K70" s="131">
        <f>'Table 1 - Detailed'!E70-E70</f>
        <v>-8.5843553579323384E-4</v>
      </c>
      <c r="L70" s="131">
        <f>'Table 1 - Detailed'!F70-F70</f>
        <v>-0.29839436380423479</v>
      </c>
      <c r="M70" s="131">
        <f>'Table 1 - Detailed'!G70-G70</f>
        <v>0</v>
      </c>
      <c r="N70" s="131">
        <f>'Table 1 - Detailed'!H70-H70</f>
        <v>0</v>
      </c>
      <c r="O70" s="132">
        <f>'Table 1 - Detailed'!I70-I70</f>
        <v>0</v>
      </c>
      <c r="P70" s="59"/>
    </row>
    <row r="71" spans="1:16" x14ac:dyDescent="0.3">
      <c r="A71" s="5" t="s">
        <v>44</v>
      </c>
      <c r="B71" s="11" t="s">
        <v>1</v>
      </c>
      <c r="C71" s="55"/>
      <c r="D71" s="131">
        <f>D46+D50+D57+D70</f>
        <v>207.24740953086319</v>
      </c>
      <c r="E71" s="131">
        <f>E46+E50+E57+E70</f>
        <v>207.40391981716607</v>
      </c>
      <c r="F71" s="131">
        <f t="shared" ref="F71:I71" si="17">F46+F50+F57+F70</f>
        <v>211.77254650782314</v>
      </c>
      <c r="G71" s="131">
        <f t="shared" si="17"/>
        <v>211.3840563804103</v>
      </c>
      <c r="H71" s="131">
        <f t="shared" si="17"/>
        <v>215.15742201437607</v>
      </c>
      <c r="I71" s="132">
        <f t="shared" si="17"/>
        <v>215.15742201437607</v>
      </c>
      <c r="J71" s="131">
        <f>'Table 1 - Detailed'!D71-D71</f>
        <v>-0.89970672563745779</v>
      </c>
      <c r="K71" s="131">
        <f>'Table 1 - Detailed'!E71-E71</f>
        <v>-1.014878257634507</v>
      </c>
      <c r="L71" s="131">
        <f>'Table 1 - Detailed'!F71-F71</f>
        <v>-2.1803930507967664</v>
      </c>
      <c r="M71" s="131">
        <f>'Table 1 - Detailed'!G71-G71</f>
        <v>-1.952263530957282</v>
      </c>
      <c r="N71" s="131">
        <f>'Table 1 - Detailed'!H71-H71</f>
        <v>-2.3149044584951639</v>
      </c>
      <c r="O71" s="132">
        <f>'Table 1 - Detailed'!I71-I71</f>
        <v>-2.3149044584951639</v>
      </c>
      <c r="P71" s="59"/>
    </row>
    <row r="72" spans="1:16" x14ac:dyDescent="0.3">
      <c r="A72" s="354" t="s">
        <v>45</v>
      </c>
      <c r="B72" s="9" t="s">
        <v>1</v>
      </c>
      <c r="C72" s="53" t="s">
        <v>46</v>
      </c>
      <c r="D72" s="459"/>
      <c r="E72" s="459"/>
      <c r="F72" s="459"/>
      <c r="G72" s="459"/>
      <c r="H72" s="459"/>
      <c r="I72" s="460"/>
      <c r="J72" s="131">
        <f>'Table 1 - Detailed'!D72-D72</f>
        <v>0</v>
      </c>
      <c r="K72" s="131">
        <f>'Table 1 - Detailed'!E72-E72</f>
        <v>0</v>
      </c>
      <c r="L72" s="131">
        <f>'Table 1 - Detailed'!F72-F72</f>
        <v>0</v>
      </c>
      <c r="M72" s="131">
        <f>'Table 1 - Detailed'!G72-G72</f>
        <v>0</v>
      </c>
      <c r="N72" s="131">
        <f>'Table 1 - Detailed'!H72-H72</f>
        <v>0</v>
      </c>
      <c r="O72" s="132">
        <f>'Table 1 - Detailed'!I72-I72</f>
        <v>0</v>
      </c>
      <c r="P72" s="59"/>
    </row>
    <row r="73" spans="1:16" x14ac:dyDescent="0.3">
      <c r="A73" s="354" t="s">
        <v>47</v>
      </c>
      <c r="B73" s="9" t="s">
        <v>1</v>
      </c>
      <c r="C73" s="53" t="s">
        <v>48</v>
      </c>
      <c r="D73" s="459">
        <f>'[5]Table 1 - Detailed'!D73</f>
        <v>2.9931463400196021</v>
      </c>
      <c r="E73" s="459">
        <f>'[5]Table 1 - Detailed'!E73</f>
        <v>0</v>
      </c>
      <c r="F73" s="459">
        <f>'[5]Table 1 - Detailed'!F73</f>
        <v>0</v>
      </c>
      <c r="G73" s="459">
        <f>'[5]Table 1 - Detailed'!G73</f>
        <v>0</v>
      </c>
      <c r="H73" s="459">
        <f>'[5]Table 1 - Detailed'!H73</f>
        <v>0</v>
      </c>
      <c r="I73" s="459">
        <f>'[5]Table 1 - Detailed'!I73</f>
        <v>0</v>
      </c>
      <c r="J73" s="131">
        <f>'Table 1 - Detailed'!D73-D73</f>
        <v>0</v>
      </c>
      <c r="K73" s="131">
        <f>'Table 1 - Detailed'!E73-E73</f>
        <v>0</v>
      </c>
      <c r="L73" s="131">
        <f>'Table 1 - Detailed'!F73-F73</f>
        <v>0</v>
      </c>
      <c r="M73" s="131">
        <f>'Table 1 - Detailed'!G73-G73</f>
        <v>0</v>
      </c>
      <c r="N73" s="131">
        <f>'Table 1 - Detailed'!H73-H73</f>
        <v>0</v>
      </c>
      <c r="O73" s="132">
        <f>'Table 1 - Detailed'!I73-I73</f>
        <v>0</v>
      </c>
      <c r="P73" s="59"/>
    </row>
    <row r="74" spans="1:16" x14ac:dyDescent="0.3">
      <c r="A74" s="354" t="s">
        <v>49</v>
      </c>
      <c r="B74" s="9" t="s">
        <v>1</v>
      </c>
      <c r="C74" s="53" t="s">
        <v>50</v>
      </c>
      <c r="D74" s="459">
        <f>'[5]Table 1 - Detailed'!D74</f>
        <v>0.69</v>
      </c>
      <c r="E74" s="459">
        <f>'[5]Table 1 - Detailed'!E74</f>
        <v>0</v>
      </c>
      <c r="F74" s="459">
        <f>'[5]Table 1 - Detailed'!F74</f>
        <v>0</v>
      </c>
      <c r="G74" s="459">
        <f>'[5]Table 1 - Detailed'!G74</f>
        <v>0</v>
      </c>
      <c r="H74" s="459">
        <f>'[5]Table 1 - Detailed'!H74</f>
        <v>0</v>
      </c>
      <c r="I74" s="459">
        <f>'[5]Table 1 - Detailed'!I74</f>
        <v>0</v>
      </c>
      <c r="J74" s="131">
        <f>'Table 1 - Detailed'!D74-D74</f>
        <v>0</v>
      </c>
      <c r="K74" s="131">
        <f>'Table 1 - Detailed'!E74-E74</f>
        <v>0</v>
      </c>
      <c r="L74" s="131">
        <f>'Table 1 - Detailed'!F74-F74</f>
        <v>0</v>
      </c>
      <c r="M74" s="131">
        <f>'Table 1 - Detailed'!G74-G74</f>
        <v>0</v>
      </c>
      <c r="N74" s="131">
        <f>'Table 1 - Detailed'!H74-H74</f>
        <v>0</v>
      </c>
      <c r="O74" s="132">
        <f>'Table 1 - Detailed'!I74-I74</f>
        <v>0</v>
      </c>
      <c r="P74" s="59"/>
    </row>
    <row r="75" spans="1:16" outlineLevel="1" x14ac:dyDescent="0.3">
      <c r="A75" s="348" t="s">
        <v>125</v>
      </c>
      <c r="B75" s="335" t="s">
        <v>1</v>
      </c>
      <c r="C75" s="336" t="s">
        <v>126</v>
      </c>
      <c r="D75" s="459">
        <f>'[5]Table 1 - Detailed'!D75</f>
        <v>0.34155279999999988</v>
      </c>
      <c r="E75" s="459">
        <f>'[5]Table 1 - Detailed'!E75</f>
        <v>0.35842528184898559</v>
      </c>
      <c r="F75" s="459">
        <f>'[5]Table 1 - Detailed'!F75</f>
        <v>0.37335966859269332</v>
      </c>
      <c r="G75" s="459">
        <f>'[5]Table 1 - Detailed'!G75</f>
        <v>0.3882940553364011</v>
      </c>
      <c r="H75" s="459">
        <f>'[5]Table 1 - Detailed'!H75</f>
        <v>0.40322844208010883</v>
      </c>
      <c r="I75" s="459">
        <f>'[5]Table 1 - Detailed'!I75</f>
        <v>0.40322844208010883</v>
      </c>
      <c r="J75" s="337">
        <f>'Table 1 - Detailed'!D75-D75</f>
        <v>0</v>
      </c>
      <c r="K75" s="337">
        <f>'Table 1 - Detailed'!E75-E75</f>
        <v>0</v>
      </c>
      <c r="L75" s="337">
        <f>'Table 1 - Detailed'!F75-F75</f>
        <v>0</v>
      </c>
      <c r="M75" s="337">
        <f>'Table 1 - Detailed'!G75-G75</f>
        <v>0</v>
      </c>
      <c r="N75" s="337">
        <f>'Table 1 - Detailed'!H75-H75</f>
        <v>0</v>
      </c>
      <c r="O75" s="338">
        <f>'Table 1 - Detailed'!I75-I75</f>
        <v>0</v>
      </c>
      <c r="P75" s="339"/>
    </row>
    <row r="76" spans="1:16" outlineLevel="1" x14ac:dyDescent="0.3">
      <c r="A76" s="349" t="s">
        <v>127</v>
      </c>
      <c r="B76" s="340" t="s">
        <v>1</v>
      </c>
      <c r="C76" s="341" t="s">
        <v>128</v>
      </c>
      <c r="D76" s="459">
        <f>'[5]Table 1 - Detailed'!D76</f>
        <v>0.44757084214131948</v>
      </c>
      <c r="E76" s="459">
        <f>'[5]Table 1 - Detailed'!E76</f>
        <v>0.59155848991712223</v>
      </c>
      <c r="F76" s="459">
        <f>'[5]Table 1 - Detailed'!F76</f>
        <v>0.61655848991712225</v>
      </c>
      <c r="G76" s="459">
        <f>'[5]Table 1 - Detailed'!G76</f>
        <v>0.64155848991712228</v>
      </c>
      <c r="H76" s="459">
        <f>'[5]Table 1 - Detailed'!H76</f>
        <v>0.66655848991712219</v>
      </c>
      <c r="I76" s="459">
        <f>'[5]Table 1 - Detailed'!I76</f>
        <v>0.66655848991712219</v>
      </c>
      <c r="J76" s="299">
        <f>'Table 1 - Detailed'!D76-D76</f>
        <v>0</v>
      </c>
      <c r="K76" s="299">
        <f>'Table 1 - Detailed'!E76-E76</f>
        <v>0</v>
      </c>
      <c r="L76" s="299">
        <f>'Table 1 - Detailed'!F76-F76</f>
        <v>0</v>
      </c>
      <c r="M76" s="299">
        <f>'Table 1 - Detailed'!G76-G76</f>
        <v>0</v>
      </c>
      <c r="N76" s="299">
        <f>'Table 1 - Detailed'!H76-H76</f>
        <v>0</v>
      </c>
      <c r="O76" s="300">
        <f>'Table 1 - Detailed'!I76-I76</f>
        <v>0</v>
      </c>
      <c r="P76" s="301"/>
    </row>
    <row r="77" spans="1:16" outlineLevel="1" x14ac:dyDescent="0.3">
      <c r="A77" s="349" t="s">
        <v>129</v>
      </c>
      <c r="B77" s="340" t="s">
        <v>1</v>
      </c>
      <c r="C77" s="341" t="s">
        <v>130</v>
      </c>
      <c r="D77" s="459">
        <f>'[5]Table 1 - Detailed'!D77</f>
        <v>-0.62142004788763061</v>
      </c>
      <c r="E77" s="459">
        <f>'[5]Table 1 - Detailed'!E77</f>
        <v>0</v>
      </c>
      <c r="F77" s="459">
        <f>'[5]Table 1 - Detailed'!F77</f>
        <v>0</v>
      </c>
      <c r="G77" s="459">
        <f>'[5]Table 1 - Detailed'!G77</f>
        <v>0</v>
      </c>
      <c r="H77" s="459">
        <f>'[5]Table 1 - Detailed'!H77</f>
        <v>0</v>
      </c>
      <c r="I77" s="459">
        <f>'[5]Table 1 - Detailed'!I77</f>
        <v>0</v>
      </c>
      <c r="J77" s="299">
        <f>'Table 1 - Detailed'!D77-D77</f>
        <v>0</v>
      </c>
      <c r="K77" s="299">
        <f>'Table 1 - Detailed'!E77-E77</f>
        <v>0</v>
      </c>
      <c r="L77" s="299">
        <f>'Table 1 - Detailed'!F77-F77</f>
        <v>0</v>
      </c>
      <c r="M77" s="299">
        <f>'Table 1 - Detailed'!G77-G77</f>
        <v>0</v>
      </c>
      <c r="N77" s="299">
        <f>'Table 1 - Detailed'!H77-H77</f>
        <v>0</v>
      </c>
      <c r="O77" s="300">
        <f>'Table 1 - Detailed'!I77-I77</f>
        <v>0</v>
      </c>
      <c r="P77" s="301"/>
    </row>
    <row r="78" spans="1:16" outlineLevel="1" x14ac:dyDescent="0.3">
      <c r="A78" s="349" t="s">
        <v>131</v>
      </c>
      <c r="B78" s="340" t="s">
        <v>1</v>
      </c>
      <c r="C78" s="341" t="s">
        <v>132</v>
      </c>
      <c r="D78" s="459">
        <f>'[5]Table 1 - Detailed'!D78</f>
        <v>0</v>
      </c>
      <c r="E78" s="459">
        <f>'[5]Table 1 - Detailed'!E78</f>
        <v>0</v>
      </c>
      <c r="F78" s="459">
        <f>'[5]Table 1 - Detailed'!F78</f>
        <v>0</v>
      </c>
      <c r="G78" s="459">
        <f>'[5]Table 1 - Detailed'!G78</f>
        <v>0</v>
      </c>
      <c r="H78" s="459">
        <f>'[5]Table 1 - Detailed'!H78</f>
        <v>0</v>
      </c>
      <c r="I78" s="459">
        <f>'[5]Table 1 - Detailed'!I78</f>
        <v>0</v>
      </c>
      <c r="J78" s="299">
        <f>'Table 1 - Detailed'!D78-D78</f>
        <v>0</v>
      </c>
      <c r="K78" s="299">
        <f>'Table 1 - Detailed'!E78-E78</f>
        <v>0</v>
      </c>
      <c r="L78" s="299">
        <f>'Table 1 - Detailed'!F78-F78</f>
        <v>0</v>
      </c>
      <c r="M78" s="299">
        <f>'Table 1 - Detailed'!G78-G78</f>
        <v>0</v>
      </c>
      <c r="N78" s="299">
        <f>'Table 1 - Detailed'!H78-H78</f>
        <v>0</v>
      </c>
      <c r="O78" s="300">
        <f>'Table 1 - Detailed'!I78-I78</f>
        <v>0</v>
      </c>
      <c r="P78" s="301"/>
    </row>
    <row r="79" spans="1:16" outlineLevel="1" x14ac:dyDescent="0.3">
      <c r="A79" s="349" t="s">
        <v>133</v>
      </c>
      <c r="B79" s="340" t="s">
        <v>1</v>
      </c>
      <c r="C79" s="341" t="s">
        <v>134</v>
      </c>
      <c r="D79" s="459">
        <f>'[5]Table 1 - Detailed'!D79</f>
        <v>0</v>
      </c>
      <c r="E79" s="459">
        <f>'[5]Table 1 - Detailed'!E79</f>
        <v>0</v>
      </c>
      <c r="F79" s="459">
        <f>'[5]Table 1 - Detailed'!F79</f>
        <v>0</v>
      </c>
      <c r="G79" s="459">
        <f>'[5]Table 1 - Detailed'!G79</f>
        <v>0</v>
      </c>
      <c r="H79" s="459">
        <f>'[5]Table 1 - Detailed'!H79</f>
        <v>0</v>
      </c>
      <c r="I79" s="459">
        <f>'[5]Table 1 - Detailed'!I79</f>
        <v>0</v>
      </c>
      <c r="J79" s="299">
        <f>'Table 1 - Detailed'!D79-D79</f>
        <v>0</v>
      </c>
      <c r="K79" s="299">
        <f>'Table 1 - Detailed'!E79-E79</f>
        <v>0</v>
      </c>
      <c r="L79" s="299">
        <f>'Table 1 - Detailed'!F79-F79</f>
        <v>0</v>
      </c>
      <c r="M79" s="299">
        <f>'Table 1 - Detailed'!G79-G79</f>
        <v>0</v>
      </c>
      <c r="N79" s="299">
        <f>'Table 1 - Detailed'!H79-H79</f>
        <v>0</v>
      </c>
      <c r="O79" s="300">
        <f>'Table 1 - Detailed'!I79-I79</f>
        <v>0</v>
      </c>
      <c r="P79" s="301"/>
    </row>
    <row r="80" spans="1:16" outlineLevel="1" x14ac:dyDescent="0.3">
      <c r="A80" s="349" t="s">
        <v>135</v>
      </c>
      <c r="B80" s="340" t="s">
        <v>1</v>
      </c>
      <c r="C80" s="341" t="s">
        <v>136</v>
      </c>
      <c r="D80" s="459">
        <f>'[5]Table 1 - Detailed'!D80</f>
        <v>0.92100000000000004</v>
      </c>
      <c r="E80" s="459">
        <f>'[5]Table 1 - Detailed'!E80</f>
        <v>0.26</v>
      </c>
      <c r="F80" s="459">
        <f>'[5]Table 1 - Detailed'!F80</f>
        <v>0.26</v>
      </c>
      <c r="G80" s="459">
        <f>'[5]Table 1 - Detailed'!G80</f>
        <v>0.26</v>
      </c>
      <c r="H80" s="459">
        <f>'[5]Table 1 - Detailed'!H80</f>
        <v>0.26</v>
      </c>
      <c r="I80" s="459">
        <f>'[5]Table 1 - Detailed'!I80</f>
        <v>0.26</v>
      </c>
      <c r="J80" s="299">
        <f>'Table 1 - Detailed'!D80-D80</f>
        <v>0</v>
      </c>
      <c r="K80" s="299">
        <f>'Table 1 - Detailed'!E80-E80</f>
        <v>0</v>
      </c>
      <c r="L80" s="299">
        <f>'Table 1 - Detailed'!F80-F80</f>
        <v>0</v>
      </c>
      <c r="M80" s="299">
        <f>'Table 1 - Detailed'!G80-G80</f>
        <v>0</v>
      </c>
      <c r="N80" s="299">
        <f>'Table 1 - Detailed'!H80-H80</f>
        <v>0</v>
      </c>
      <c r="O80" s="300">
        <f>'Table 1 - Detailed'!I80-I80</f>
        <v>0</v>
      </c>
      <c r="P80" s="301"/>
    </row>
    <row r="81" spans="1:16" outlineLevel="1" x14ac:dyDescent="0.3">
      <c r="A81" s="349" t="s">
        <v>137</v>
      </c>
      <c r="B81" s="340" t="s">
        <v>1</v>
      </c>
      <c r="C81" s="341" t="s">
        <v>138</v>
      </c>
      <c r="D81" s="459">
        <f>'[5]Table 1 - Detailed'!D81</f>
        <v>0</v>
      </c>
      <c r="E81" s="459">
        <f>'[5]Table 1 - Detailed'!E81</f>
        <v>0</v>
      </c>
      <c r="F81" s="459">
        <f>'[5]Table 1 - Detailed'!F81</f>
        <v>0</v>
      </c>
      <c r="G81" s="459">
        <f>'[5]Table 1 - Detailed'!G81</f>
        <v>0</v>
      </c>
      <c r="H81" s="459">
        <f>'[5]Table 1 - Detailed'!H81</f>
        <v>0</v>
      </c>
      <c r="I81" s="459">
        <f>'[5]Table 1 - Detailed'!I81</f>
        <v>0</v>
      </c>
      <c r="J81" s="299">
        <f>'Table 1 - Detailed'!D81-D81</f>
        <v>0</v>
      </c>
      <c r="K81" s="299">
        <f>'Table 1 - Detailed'!E81-E81</f>
        <v>0</v>
      </c>
      <c r="L81" s="299">
        <f>'Table 1 - Detailed'!F81-F81</f>
        <v>0</v>
      </c>
      <c r="M81" s="299">
        <f>'Table 1 - Detailed'!G81-G81</f>
        <v>0</v>
      </c>
      <c r="N81" s="299">
        <f>'Table 1 - Detailed'!H81-H81</f>
        <v>0</v>
      </c>
      <c r="O81" s="300">
        <f>'Table 1 - Detailed'!I81-I81</f>
        <v>0</v>
      </c>
      <c r="P81" s="301"/>
    </row>
    <row r="82" spans="1:16" outlineLevel="1" x14ac:dyDescent="0.3">
      <c r="A82" s="350" t="s">
        <v>139</v>
      </c>
      <c r="B82" s="342" t="s">
        <v>1</v>
      </c>
      <c r="C82" s="343" t="s">
        <v>140</v>
      </c>
      <c r="D82" s="459">
        <f>'[5]Table 1 - Detailed'!D82</f>
        <v>0</v>
      </c>
      <c r="E82" s="459">
        <f>'[5]Table 1 - Detailed'!E82</f>
        <v>0</v>
      </c>
      <c r="F82" s="459">
        <f>'[5]Table 1 - Detailed'!F82</f>
        <v>0</v>
      </c>
      <c r="G82" s="459">
        <f>'[5]Table 1 - Detailed'!G82</f>
        <v>0</v>
      </c>
      <c r="H82" s="459">
        <f>'[5]Table 1 - Detailed'!H82</f>
        <v>0</v>
      </c>
      <c r="I82" s="459">
        <f>'[5]Table 1 - Detailed'!I82</f>
        <v>0</v>
      </c>
      <c r="J82" s="303">
        <f>'Table 1 - Detailed'!D82-D82</f>
        <v>0</v>
      </c>
      <c r="K82" s="303">
        <f>'Table 1 - Detailed'!E82-E82</f>
        <v>0</v>
      </c>
      <c r="L82" s="303">
        <f>'Table 1 - Detailed'!F82-F82</f>
        <v>0</v>
      </c>
      <c r="M82" s="303">
        <f>'Table 1 - Detailed'!G82-G82</f>
        <v>0</v>
      </c>
      <c r="N82" s="303">
        <f>'Table 1 - Detailed'!H82-H82</f>
        <v>0</v>
      </c>
      <c r="O82" s="304">
        <f>'Table 1 - Detailed'!I82-I82</f>
        <v>0</v>
      </c>
      <c r="P82" s="305"/>
    </row>
    <row r="83" spans="1:16" x14ac:dyDescent="0.3">
      <c r="A83" s="354" t="s">
        <v>51</v>
      </c>
      <c r="B83" s="9" t="s">
        <v>1</v>
      </c>
      <c r="C83" s="53" t="s">
        <v>52</v>
      </c>
      <c r="D83" s="517">
        <f>SUM(D75:D82)</f>
        <v>1.0887035942536887</v>
      </c>
      <c r="E83" s="517">
        <f t="shared" ref="E83:I83" si="18">SUM(E75:E82)</f>
        <v>1.2099837717661077</v>
      </c>
      <c r="F83" s="517">
        <f t="shared" si="18"/>
        <v>1.2499181585098156</v>
      </c>
      <c r="G83" s="517">
        <f t="shared" si="18"/>
        <v>1.2898525452535234</v>
      </c>
      <c r="H83" s="517">
        <f t="shared" si="18"/>
        <v>1.3297869319972311</v>
      </c>
      <c r="I83" s="132">
        <f t="shared" si="18"/>
        <v>1.3297869319972311</v>
      </c>
      <c r="J83" s="131">
        <f>'Table 1 - Detailed'!D83-D83</f>
        <v>0</v>
      </c>
      <c r="K83" s="131">
        <f>'Table 1 - Detailed'!E83-E83</f>
        <v>0</v>
      </c>
      <c r="L83" s="131">
        <f>'Table 1 - Detailed'!F83-F83</f>
        <v>0</v>
      </c>
      <c r="M83" s="131">
        <f>'Table 1 - Detailed'!G83-G83</f>
        <v>0</v>
      </c>
      <c r="N83" s="131">
        <f>'Table 1 - Detailed'!H83-H83</f>
        <v>0</v>
      </c>
      <c r="O83" s="132">
        <f>'Table 1 - Detailed'!I83-I83</f>
        <v>0</v>
      </c>
      <c r="P83" s="59"/>
    </row>
    <row r="84" spans="1:16" x14ac:dyDescent="0.3">
      <c r="A84" s="354" t="s">
        <v>53</v>
      </c>
      <c r="B84" s="9" t="s">
        <v>1</v>
      </c>
      <c r="C84" s="53" t="s">
        <v>54</v>
      </c>
      <c r="D84" s="459">
        <f>'[5]Table 1 - Detailed'!D84</f>
        <v>0.28237825891316076</v>
      </c>
      <c r="E84" s="459">
        <f>'[5]Table 1 - Detailed'!E84</f>
        <v>0.28237825891316076</v>
      </c>
      <c r="F84" s="459">
        <f>'[5]Table 1 - Detailed'!F84</f>
        <v>0.28237825891316076</v>
      </c>
      <c r="G84" s="459">
        <f>'[5]Table 1 - Detailed'!G84</f>
        <v>0.28237825891316076</v>
      </c>
      <c r="H84" s="459">
        <f>'[5]Table 1 - Detailed'!H84</f>
        <v>0.28237825891316076</v>
      </c>
      <c r="I84" s="459">
        <f>'[5]Table 1 - Detailed'!I84</f>
        <v>0.28237825891316076</v>
      </c>
      <c r="J84" s="131">
        <f>'Table 1 - Detailed'!D84-D84</f>
        <v>0</v>
      </c>
      <c r="K84" s="131">
        <f>'Table 1 - Detailed'!E84-E84</f>
        <v>0</v>
      </c>
      <c r="L84" s="131">
        <f>'Table 1 - Detailed'!F84-F84</f>
        <v>0</v>
      </c>
      <c r="M84" s="131">
        <f>'Table 1 - Detailed'!G84-G84</f>
        <v>0</v>
      </c>
      <c r="N84" s="131">
        <f>'Table 1 - Detailed'!H84-H84</f>
        <v>0</v>
      </c>
      <c r="O84" s="132">
        <f>'Table 1 - Detailed'!I84-I84</f>
        <v>0</v>
      </c>
      <c r="P84" s="59"/>
    </row>
    <row r="85" spans="1:16" x14ac:dyDescent="0.3">
      <c r="A85" s="354" t="s">
        <v>55</v>
      </c>
      <c r="B85" s="9" t="s">
        <v>1</v>
      </c>
      <c r="C85" s="53" t="s">
        <v>56</v>
      </c>
      <c r="D85" s="459">
        <f>'[5]Table 1 - Detailed'!D85</f>
        <v>9.3704416430449909E-4</v>
      </c>
      <c r="E85" s="459">
        <f>'[5]Table 1 - Detailed'!E85</f>
        <v>0</v>
      </c>
      <c r="F85" s="459">
        <f>'[5]Table 1 - Detailed'!F85</f>
        <v>0</v>
      </c>
      <c r="G85" s="459">
        <f>'[5]Table 1 - Detailed'!G85</f>
        <v>0</v>
      </c>
      <c r="H85" s="459">
        <f>'[5]Table 1 - Detailed'!H85</f>
        <v>0</v>
      </c>
      <c r="I85" s="459">
        <f>'[5]Table 1 - Detailed'!I85</f>
        <v>0</v>
      </c>
      <c r="J85" s="131">
        <f>'Table 1 - Detailed'!D85-D85</f>
        <v>0</v>
      </c>
      <c r="K85" s="131">
        <f>'Table 1 - Detailed'!E85-E85</f>
        <v>0</v>
      </c>
      <c r="L85" s="131">
        <f>'Table 1 - Detailed'!F85-F85</f>
        <v>0</v>
      </c>
      <c r="M85" s="131">
        <f>'Table 1 - Detailed'!G85-G85</f>
        <v>0</v>
      </c>
      <c r="N85" s="131">
        <f>'Table 1 - Detailed'!H85-H85</f>
        <v>0</v>
      </c>
      <c r="O85" s="132">
        <f>'Table 1 - Detailed'!I85-I85</f>
        <v>0</v>
      </c>
      <c r="P85" s="59"/>
    </row>
    <row r="86" spans="1:16" x14ac:dyDescent="0.3">
      <c r="A86" s="5" t="s">
        <v>57</v>
      </c>
      <c r="B86" s="11" t="s">
        <v>1</v>
      </c>
      <c r="C86" s="55"/>
      <c r="D86" s="131">
        <f>SUM(D71:D85)-D83</f>
        <v>212.30257476821393</v>
      </c>
      <c r="E86" s="131">
        <f t="shared" ref="E86:I86" si="19">SUM(E71:E85)-E83</f>
        <v>208.89628184784533</v>
      </c>
      <c r="F86" s="131">
        <f t="shared" si="19"/>
        <v>213.30484292524608</v>
      </c>
      <c r="G86" s="131">
        <f t="shared" si="19"/>
        <v>212.95628718457695</v>
      </c>
      <c r="H86" s="131">
        <f t="shared" si="19"/>
        <v>216.76958720528646</v>
      </c>
      <c r="I86" s="131">
        <f t="shared" si="19"/>
        <v>216.76958720528646</v>
      </c>
      <c r="J86" s="131">
        <f>'Table 1 - Detailed'!D86-D86</f>
        <v>-0.89970672563745779</v>
      </c>
      <c r="K86" s="131">
        <f>'Table 1 - Detailed'!E86-E86</f>
        <v>-1.014878257634507</v>
      </c>
      <c r="L86" s="131">
        <f>'Table 1 - Detailed'!F86-F86</f>
        <v>-2.1803930507967664</v>
      </c>
      <c r="M86" s="131">
        <f>'Table 1 - Detailed'!G86-G86</f>
        <v>-1.952263530957282</v>
      </c>
      <c r="N86" s="131">
        <f>'Table 1 - Detailed'!H86-H86</f>
        <v>-2.3149044584951639</v>
      </c>
      <c r="O86" s="132">
        <f>'Table 1 - Detailed'!I86-I86</f>
        <v>-2.3149044584951639</v>
      </c>
      <c r="P86" s="59"/>
    </row>
    <row r="87" spans="1:16" x14ac:dyDescent="0.3">
      <c r="A87" s="354" t="s">
        <v>58</v>
      </c>
      <c r="B87" s="9" t="s">
        <v>1</v>
      </c>
      <c r="C87" s="53" t="s">
        <v>59</v>
      </c>
      <c r="D87" s="459">
        <f>'[5]Table 1 - Detailed'!D87</f>
        <v>11.971782399681244</v>
      </c>
      <c r="E87" s="459">
        <f>'[5]Table 1 - Detailed'!E87</f>
        <v>10.572856640382339</v>
      </c>
      <c r="F87" s="459">
        <f>'[5]Table 1 - Detailed'!F87</f>
        <v>10.472265284154464</v>
      </c>
      <c r="G87" s="459">
        <f>'[5]Table 1 - Detailed'!G87</f>
        <v>10.594450771041721</v>
      </c>
      <c r="H87" s="459">
        <f>'[5]Table 1 - Detailed'!H87</f>
        <v>8.542494175510928</v>
      </c>
      <c r="I87" s="459">
        <f>'[5]Table 1 - Detailed'!I87</f>
        <v>8.542494175510928</v>
      </c>
      <c r="J87" s="131">
        <f>'Table 1 - Detailed'!D87-D87</f>
        <v>-0.30864746277269006</v>
      </c>
      <c r="K87" s="131">
        <f>'Table 1 - Detailed'!E87-E87</f>
        <v>-0.52125447364291411</v>
      </c>
      <c r="L87" s="131">
        <f>'Table 1 - Detailed'!F87-F87</f>
        <v>-0.95335404815245717</v>
      </c>
      <c r="M87" s="131">
        <f>'Table 1 - Detailed'!G87-G87</f>
        <v>-0.62648182937250674</v>
      </c>
      <c r="N87" s="131">
        <f>'Table 1 - Detailed'!H87-H87</f>
        <v>-0.46501169712503732</v>
      </c>
      <c r="O87" s="132">
        <f>'Table 1 - Detailed'!I87-I87</f>
        <v>-0.46501169712503732</v>
      </c>
      <c r="P87" s="59"/>
    </row>
    <row r="88" spans="1:16" ht="15" thickBot="1" x14ac:dyDescent="0.35">
      <c r="A88" s="369" t="s">
        <v>60</v>
      </c>
      <c r="B88" s="28" t="s">
        <v>1</v>
      </c>
      <c r="C88" s="181" t="s">
        <v>61</v>
      </c>
      <c r="D88" s="459">
        <f>'[5]Table 1 - Detailed'!D88</f>
        <v>0</v>
      </c>
      <c r="E88" s="459">
        <f>'[5]Table 1 - Detailed'!E88</f>
        <v>0</v>
      </c>
      <c r="F88" s="459">
        <f>'[5]Table 1 - Detailed'!F88</f>
        <v>0</v>
      </c>
      <c r="G88" s="459">
        <f>'[5]Table 1 - Detailed'!G88</f>
        <v>0</v>
      </c>
      <c r="H88" s="459">
        <f>'[5]Table 1 - Detailed'!H88</f>
        <v>0</v>
      </c>
      <c r="I88" s="459">
        <f>'[5]Table 1 - Detailed'!I88</f>
        <v>0</v>
      </c>
      <c r="J88" s="281">
        <f>'Table 1 - Detailed'!D88-D88</f>
        <v>0</v>
      </c>
      <c r="K88" s="281">
        <f>'Table 1 - Detailed'!E88-E88</f>
        <v>0</v>
      </c>
      <c r="L88" s="281">
        <f>'Table 1 - Detailed'!F88-F88</f>
        <v>0</v>
      </c>
      <c r="M88" s="281">
        <f>'Table 1 - Detailed'!G88-G88</f>
        <v>0</v>
      </c>
      <c r="N88" s="281">
        <f>'Table 1 - Detailed'!H88-H88</f>
        <v>0</v>
      </c>
      <c r="O88" s="282">
        <f>'Table 1 - Detailed'!I88-I88</f>
        <v>0</v>
      </c>
      <c r="P88" s="59"/>
    </row>
    <row r="89" spans="1:16" ht="15" thickBot="1" x14ac:dyDescent="0.35">
      <c r="A89" s="375" t="s">
        <v>62</v>
      </c>
      <c r="B89" s="376" t="s">
        <v>1</v>
      </c>
      <c r="C89" s="376"/>
      <c r="D89" s="137">
        <f>SUM(D86:D88)</f>
        <v>224.27435716789518</v>
      </c>
      <c r="E89" s="137">
        <f t="shared" ref="E89:I89" si="20">SUM(E86:E88)</f>
        <v>219.46913848822766</v>
      </c>
      <c r="F89" s="137">
        <f t="shared" si="20"/>
        <v>223.77710820940055</v>
      </c>
      <c r="G89" s="137">
        <f t="shared" si="20"/>
        <v>223.55073795561867</v>
      </c>
      <c r="H89" s="137">
        <f t="shared" si="20"/>
        <v>225.31208138079739</v>
      </c>
      <c r="I89" s="137">
        <f t="shared" si="20"/>
        <v>225.31208138079739</v>
      </c>
      <c r="J89" s="137">
        <f>'Table 1 - Detailed'!D89-D89</f>
        <v>-1.2083541884101408</v>
      </c>
      <c r="K89" s="137">
        <f>'Table 1 - Detailed'!E89-E89</f>
        <v>-1.5361327312774051</v>
      </c>
      <c r="L89" s="137">
        <f>'Table 1 - Detailed'!F89-F89</f>
        <v>-3.1337470989492431</v>
      </c>
      <c r="M89" s="137">
        <f>'Table 1 - Detailed'!G89-G89</f>
        <v>-2.5787453603297763</v>
      </c>
      <c r="N89" s="137">
        <f>'Table 1 - Detailed'!H89-H89</f>
        <v>-2.7799161556202137</v>
      </c>
      <c r="O89" s="138">
        <f>'Table 1 - Detailed'!I89-I89</f>
        <v>-2.7799161556202137</v>
      </c>
      <c r="P89" s="59"/>
    </row>
    <row r="90" spans="1:16" ht="15.6" x14ac:dyDescent="0.3">
      <c r="A90" s="44" t="s">
        <v>63</v>
      </c>
      <c r="B90" s="373" t="s">
        <v>10</v>
      </c>
      <c r="C90" s="374" t="s">
        <v>336</v>
      </c>
      <c r="D90" s="461">
        <f>'[5]Table 1 - Detailed'!D90</f>
        <v>1.2806226704273584</v>
      </c>
      <c r="E90" s="461">
        <f>'[5]Table 1 - Detailed'!E90</f>
        <v>1.3166427517353263</v>
      </c>
      <c r="F90" s="461">
        <f>'[5]Table 1 - Detailed'!F90</f>
        <v>1.3372044808664936</v>
      </c>
      <c r="G90" s="461">
        <f>'[5]Table 1 - Detailed'!G90</f>
        <v>1.3601375551943939</v>
      </c>
      <c r="H90" s="461">
        <f>'[5]Table 1 - Detailed'!H90</f>
        <v>1.3864986444601943</v>
      </c>
      <c r="I90" s="461">
        <f>'[5]Table 1 - Detailed'!I90</f>
        <v>1.4142286173493983</v>
      </c>
      <c r="J90" s="135">
        <f>'Table 1 - Detailed'!D90-D90</f>
        <v>0</v>
      </c>
      <c r="K90" s="135">
        <f>'Table 1 - Detailed'!E90-E90</f>
        <v>4.4670923534166906E-3</v>
      </c>
      <c r="L90" s="135">
        <f>'Table 1 - Detailed'!F90-F90</f>
        <v>1.6840140282153859E-2</v>
      </c>
      <c r="M90" s="135">
        <f>'Table 1 - Detailed'!G90-G90</f>
        <v>2.3991847066586525E-2</v>
      </c>
      <c r="N90" s="135">
        <f>'Table 1 - Detailed'!H90-H90</f>
        <v>2.6781621454258886E-2</v>
      </c>
      <c r="O90" s="136">
        <f>'Table 1 - Detailed'!I90-I90</f>
        <v>2.7317253883343939E-2</v>
      </c>
      <c r="P90" s="59"/>
    </row>
    <row r="91" spans="1:16" ht="15" thickBot="1" x14ac:dyDescent="0.35">
      <c r="A91" s="242" t="s">
        <v>64</v>
      </c>
      <c r="B91" s="162" t="s">
        <v>10</v>
      </c>
      <c r="C91" s="215" t="s">
        <v>337</v>
      </c>
      <c r="D91" s="461">
        <f>'[5]Table 1 - Detailed'!D91</f>
        <v>376.71650221738128</v>
      </c>
      <c r="E91" s="461">
        <f>'[5]Table 1 - Detailed'!E91</f>
        <v>387.31240946880854</v>
      </c>
      <c r="F91" s="461">
        <f>'[5]Table 1 - Detailed'!F91</f>
        <v>393.36098478822686</v>
      </c>
      <c r="G91" s="461">
        <f>'[5]Table 1 - Detailed'!G91</f>
        <v>400.10713081968424</v>
      </c>
      <c r="H91" s="461">
        <f>'[5]Table 1 - Detailed'!H91</f>
        <v>407.86168457870718</v>
      </c>
      <c r="I91" s="461">
        <f>'[5]Table 1 - Detailed'!I91</f>
        <v>416.01891827028135</v>
      </c>
      <c r="J91" s="146">
        <f>'Table 1 - Detailed'!D91-D91</f>
        <v>0</v>
      </c>
      <c r="K91" s="146">
        <f>'Table 1 - Detailed'!E91-E91</f>
        <v>1.3140696672967351</v>
      </c>
      <c r="L91" s="146">
        <f>'Table 1 - Detailed'!F91-F91</f>
        <v>4.9538079330002915</v>
      </c>
      <c r="M91" s="146">
        <f>'Table 1 - Detailed'!G91-G91</f>
        <v>7.0576016787542244</v>
      </c>
      <c r="N91" s="146">
        <f>'Table 1 - Detailed'!H91-H91</f>
        <v>7.8782603111278036</v>
      </c>
      <c r="O91" s="147">
        <f>'Table 1 - Detailed'!I91-I91</f>
        <v>8.0358255173503608</v>
      </c>
      <c r="P91" s="59"/>
    </row>
    <row r="92" spans="1:16" ht="15" thickBot="1" x14ac:dyDescent="0.35">
      <c r="A92" s="6"/>
      <c r="B92" s="12"/>
      <c r="C92" s="58"/>
      <c r="D92" s="18"/>
      <c r="E92" s="18"/>
      <c r="F92" s="12"/>
      <c r="G92" s="12"/>
      <c r="H92" s="12"/>
      <c r="I92" s="19"/>
      <c r="J92" s="283"/>
      <c r="K92" s="284"/>
      <c r="L92" s="285"/>
      <c r="M92" s="285"/>
      <c r="N92" s="285"/>
      <c r="O92" s="286"/>
      <c r="P92" s="59"/>
    </row>
    <row r="93" spans="1:16" ht="15" thickBot="1" x14ac:dyDescent="0.35">
      <c r="A93" s="371" t="s">
        <v>62</v>
      </c>
      <c r="B93" s="262" t="s">
        <v>65</v>
      </c>
      <c r="C93" s="266" t="s">
        <v>66</v>
      </c>
      <c r="D93" s="271">
        <f>D89*D90</f>
        <v>287.21082618472911</v>
      </c>
      <c r="E93" s="271">
        <f t="shared" ref="E93:I93" si="21">E89*E90</f>
        <v>288.96245042012146</v>
      </c>
      <c r="F93" s="271">
        <f t="shared" si="21"/>
        <v>299.23575181295661</v>
      </c>
      <c r="G93" s="271">
        <f t="shared" si="21"/>
        <v>304.05975418485781</v>
      </c>
      <c r="H93" s="271">
        <f t="shared" si="21"/>
        <v>312.39489541498057</v>
      </c>
      <c r="I93" s="272">
        <f t="shared" si="21"/>
        <v>318.64279332328022</v>
      </c>
      <c r="J93" s="271">
        <f>'Table 1 - Detailed'!D93-D93</f>
        <v>-1.5474457675838948</v>
      </c>
      <c r="K93" s="271">
        <f>'Table 1 - Detailed'!E93-E93</f>
        <v>-1.0490111627657939</v>
      </c>
      <c r="L93" s="271">
        <f>'Table 1 - Detailed'!F93-F93</f>
        <v>-0.47479550919138092</v>
      </c>
      <c r="M93" s="271">
        <f>'Table 1 - Detailed'!G93-G93</f>
        <v>1.7940778424772361</v>
      </c>
      <c r="N93" s="271">
        <f>'Table 1 - Detailed'!H93-H93</f>
        <v>2.1054222289768632</v>
      </c>
      <c r="O93" s="272">
        <f>'Table 1 - Detailed'!I93-I93</f>
        <v>2.147530673556389</v>
      </c>
      <c r="P93" s="59"/>
    </row>
    <row r="94" spans="1:16" x14ac:dyDescent="0.3">
      <c r="A94" s="357" t="s">
        <v>67</v>
      </c>
      <c r="B94" s="45" t="s">
        <v>65</v>
      </c>
      <c r="C94" s="51" t="s">
        <v>68</v>
      </c>
      <c r="D94" s="228">
        <f>D105</f>
        <v>0.46195206746633743</v>
      </c>
      <c r="E94" s="228">
        <f>E105</f>
        <v>21.349301728101903</v>
      </c>
      <c r="F94" s="228">
        <f t="shared" ref="F94:I94" si="22">F105</f>
        <v>-20.594081163243949</v>
      </c>
      <c r="G94" s="228">
        <f t="shared" si="22"/>
        <v>0.69261073488766467</v>
      </c>
      <c r="H94" s="228">
        <f t="shared" si="22"/>
        <v>0</v>
      </c>
      <c r="I94" s="229">
        <f t="shared" si="22"/>
        <v>0</v>
      </c>
      <c r="J94" s="279">
        <f>'Table 1 - Detailed'!D94-D94</f>
        <v>0</v>
      </c>
      <c r="K94" s="279">
        <f>'Table 1 - Detailed'!E94-E94</f>
        <v>-1.5873643523589998</v>
      </c>
      <c r="L94" s="279">
        <f>'Table 1 - Detailed'!F94-F94</f>
        <v>-5.9312219558085673</v>
      </c>
      <c r="M94" s="279">
        <f>'Table 1 - Detailed'!G94-G94</f>
        <v>-10.763092816646115</v>
      </c>
      <c r="N94" s="279">
        <f>'Table 1 - Detailed'!H94-H94</f>
        <v>-0.77430696344426797</v>
      </c>
      <c r="O94" s="280">
        <f>'Table 1 - Detailed'!I94-I94</f>
        <v>0</v>
      </c>
      <c r="P94" s="59"/>
    </row>
    <row r="95" spans="1:16" x14ac:dyDescent="0.3">
      <c r="A95" s="42" t="s">
        <v>69</v>
      </c>
      <c r="B95" s="10" t="s">
        <v>65</v>
      </c>
      <c r="C95" s="54" t="s">
        <v>70</v>
      </c>
      <c r="D95" s="462">
        <f>'[5]Table 1 - Detailed'!D95</f>
        <v>0</v>
      </c>
      <c r="E95" s="462">
        <f>'[5]Table 1 - Detailed'!E95</f>
        <v>0</v>
      </c>
      <c r="F95" s="462">
        <f>'[5]Table 1 - Detailed'!F95</f>
        <v>0</v>
      </c>
      <c r="G95" s="462">
        <f>'[5]Table 1 - Detailed'!G95</f>
        <v>0</v>
      </c>
      <c r="H95" s="462">
        <f>'[5]Table 1 - Detailed'!H95</f>
        <v>0</v>
      </c>
      <c r="I95" s="462">
        <f>'[5]Table 1 - Detailed'!I95</f>
        <v>0</v>
      </c>
      <c r="J95" s="160">
        <f>'Table 1 - Detailed'!D95-D95</f>
        <v>0</v>
      </c>
      <c r="K95" s="160">
        <f>'Table 1 - Detailed'!E95-E95</f>
        <v>0</v>
      </c>
      <c r="L95" s="160">
        <f>'Table 1 - Detailed'!F95-F95</f>
        <v>0</v>
      </c>
      <c r="M95" s="160">
        <f>'Table 1 - Detailed'!G95-G95</f>
        <v>0</v>
      </c>
      <c r="N95" s="160">
        <f>'Table 1 - Detailed'!H95-H95</f>
        <v>0</v>
      </c>
      <c r="O95" s="206">
        <f>'Table 1 - Detailed'!I95-I95</f>
        <v>0</v>
      </c>
      <c r="P95" s="59"/>
    </row>
    <row r="96" spans="1:16" ht="15" thickBot="1" x14ac:dyDescent="0.35">
      <c r="A96" s="372" t="s">
        <v>71</v>
      </c>
      <c r="B96" s="14" t="s">
        <v>65</v>
      </c>
      <c r="C96" s="57" t="s">
        <v>72</v>
      </c>
      <c r="D96" s="462">
        <f>'[5]Table 1 - Detailed'!D96</f>
        <v>-15.476988251258661</v>
      </c>
      <c r="E96" s="462">
        <f>'[5]Table 1 - Detailed'!E96</f>
        <v>18.982771470956394</v>
      </c>
      <c r="F96" s="462">
        <f>'[5]Table 1 - Detailed'!F96</f>
        <v>0.70008060453477761</v>
      </c>
      <c r="G96" s="462">
        <f>'[5]Table 1 - Detailed'!G96</f>
        <v>0.75905320233883489</v>
      </c>
      <c r="H96" s="462">
        <f>'[5]Table 1 - Detailed'!H96</f>
        <v>0.80592848538430673</v>
      </c>
      <c r="I96" s="462">
        <f>'[5]Table 1 - Detailed'!I96</f>
        <v>0</v>
      </c>
      <c r="J96" s="287">
        <f>'Table 1 - Detailed'!D96-D96</f>
        <v>0</v>
      </c>
      <c r="K96" s="287">
        <f>'Table 1 - Detailed'!E96-E96</f>
        <v>5.057352775557078E-2</v>
      </c>
      <c r="L96" s="287">
        <f>'Table 1 - Detailed'!F96-F96</f>
        <v>8.8164942294699511E-3</v>
      </c>
      <c r="M96" s="287">
        <f>'Table 1 - Detailed'!G96-G96</f>
        <v>1.3003459331467737E-2</v>
      </c>
      <c r="N96" s="287">
        <f>'Table 1 - Detailed'!H96-H96</f>
        <v>1.4798855031666003E-2</v>
      </c>
      <c r="O96" s="288">
        <f>'Table 1 - Detailed'!I96-I96</f>
        <v>0</v>
      </c>
      <c r="P96" s="59"/>
    </row>
    <row r="97" spans="1:16" ht="15" thickBot="1" x14ac:dyDescent="0.35">
      <c r="A97" s="375" t="s">
        <v>73</v>
      </c>
      <c r="B97" s="376" t="s">
        <v>65</v>
      </c>
      <c r="C97" s="376" t="s">
        <v>74</v>
      </c>
      <c r="D97" s="271">
        <f>SUM(D93:D96)</f>
        <v>272.19579000093677</v>
      </c>
      <c r="E97" s="271">
        <f t="shared" ref="E97:I97" si="23">SUM(E93:E96)</f>
        <v>329.29452361917976</v>
      </c>
      <c r="F97" s="271">
        <f t="shared" si="23"/>
        <v>279.34175125424741</v>
      </c>
      <c r="G97" s="271">
        <f t="shared" si="23"/>
        <v>305.51141812208431</v>
      </c>
      <c r="H97" s="271">
        <f t="shared" si="23"/>
        <v>313.20082390036487</v>
      </c>
      <c r="I97" s="272">
        <f t="shared" si="23"/>
        <v>318.64279332328022</v>
      </c>
      <c r="J97" s="271">
        <f>'Table 1 - Detailed'!D97-D97</f>
        <v>-1.5474457675838948</v>
      </c>
      <c r="K97" s="271">
        <f>'Table 1 - Detailed'!E97-E97</f>
        <v>-2.5858019873692228</v>
      </c>
      <c r="L97" s="271">
        <f>'Table 1 - Detailed'!F97-F97</f>
        <v>-6.3972009707704842</v>
      </c>
      <c r="M97" s="271">
        <f>'Table 1 - Detailed'!G97-G97</f>
        <v>-8.9560115148373711</v>
      </c>
      <c r="N97" s="271">
        <f>'Table 1 - Detailed'!H97-H97</f>
        <v>1.3459141205643164</v>
      </c>
      <c r="O97" s="272">
        <f>'Table 1 - Detailed'!I97-I97</f>
        <v>2.147530673556389</v>
      </c>
      <c r="P97" s="59"/>
    </row>
    <row r="98" spans="1:16" ht="15" thickBot="1" x14ac:dyDescent="0.35">
      <c r="A98" s="6"/>
      <c r="B98" s="12"/>
      <c r="C98" s="58"/>
      <c r="D98" s="18"/>
      <c r="E98" s="18"/>
      <c r="F98" s="12"/>
      <c r="G98" s="12"/>
      <c r="H98" s="12"/>
      <c r="I98" s="19"/>
      <c r="J98" s="289"/>
      <c r="K98" s="289"/>
      <c r="L98" s="290"/>
      <c r="M98" s="290"/>
      <c r="N98" s="290"/>
      <c r="O98" s="291"/>
      <c r="P98" s="59"/>
    </row>
    <row r="99" spans="1:16" ht="15" thickBot="1" x14ac:dyDescent="0.35">
      <c r="A99" s="375" t="s">
        <v>75</v>
      </c>
      <c r="B99" s="376" t="s">
        <v>65</v>
      </c>
      <c r="C99" s="376" t="s">
        <v>76</v>
      </c>
      <c r="D99" s="474">
        <f>'[5]Table 1 - Detailed'!D99</f>
        <v>252.22409897166668</v>
      </c>
      <c r="E99" s="474">
        <f>'[5]Table 1 - Detailed'!E99</f>
        <v>348.76638238079227</v>
      </c>
      <c r="F99" s="474">
        <f>'[5]Table 1 - Detailed'!F99</f>
        <v>278.68791994405711</v>
      </c>
      <c r="G99" s="474">
        <f>'[5]Table 1 - Detailed'!G99</f>
        <v>305.51141812208442</v>
      </c>
      <c r="H99" s="474">
        <f>'[5]Table 1 - Detailed'!H99</f>
        <v>313.20082390036487</v>
      </c>
      <c r="I99" s="474">
        <f>'[5]Table 1 - Detailed'!I99</f>
        <v>318.64279332328022</v>
      </c>
      <c r="J99" s="271">
        <f>'Table 1 - Detailed'!D99-D99</f>
        <v>0</v>
      </c>
      <c r="K99" s="271">
        <f>'Table 1 - Detailed'!E99-E99</f>
        <v>2.7943291941832626</v>
      </c>
      <c r="L99" s="271">
        <f>'Table 1 - Detailed'!F99-F99</f>
        <v>3.7208530574235965</v>
      </c>
      <c r="M99" s="271">
        <f>'Table 1 - Detailed'!G99-G99</f>
        <v>-8.2276224142601109</v>
      </c>
      <c r="N99" s="271">
        <f>'Table 1 - Detailed'!H99-H99</f>
        <v>1.34591412056443</v>
      </c>
      <c r="O99" s="272">
        <f>'Table 1 - Detailed'!I99-I99</f>
        <v>2.147530673556389</v>
      </c>
      <c r="P99" s="59"/>
    </row>
    <row r="100" spans="1:16" ht="15" thickBot="1" x14ac:dyDescent="0.35">
      <c r="A100" s="230" t="s">
        <v>77</v>
      </c>
      <c r="B100" s="231" t="s">
        <v>65</v>
      </c>
      <c r="C100" s="232"/>
      <c r="D100" s="233">
        <f>D97-D99</f>
        <v>19.97169102927009</v>
      </c>
      <c r="E100" s="233">
        <f t="shared" ref="E100:I100" si="24">E97-E99</f>
        <v>-19.471858761612509</v>
      </c>
      <c r="F100" s="233">
        <f t="shared" si="24"/>
        <v>0.65383131019029861</v>
      </c>
      <c r="G100" s="233">
        <f t="shared" si="24"/>
        <v>0</v>
      </c>
      <c r="H100" s="233">
        <f t="shared" si="24"/>
        <v>0</v>
      </c>
      <c r="I100" s="234">
        <f t="shared" si="24"/>
        <v>0</v>
      </c>
      <c r="J100" s="233">
        <f>'Table 1 - Detailed'!D100-D100</f>
        <v>-1.5474457675838948</v>
      </c>
      <c r="K100" s="233">
        <f>'Table 1 - Detailed'!E100-E100</f>
        <v>-5.3801311815524855</v>
      </c>
      <c r="L100" s="233">
        <f>'Table 1 - Detailed'!F100-F100</f>
        <v>-10.118054028194081</v>
      </c>
      <c r="M100" s="233">
        <f>'Table 1 - Detailed'!G100-G100</f>
        <v>-0.72838910057737394</v>
      </c>
      <c r="N100" s="233">
        <f>'Table 1 - Detailed'!H100-H100</f>
        <v>0</v>
      </c>
      <c r="O100" s="234">
        <f>'Table 1 - Detailed'!I100-I100</f>
        <v>0</v>
      </c>
      <c r="P100" s="59"/>
    </row>
    <row r="101" spans="1:16" ht="15" thickBot="1" x14ac:dyDescent="0.35">
      <c r="A101" s="6"/>
      <c r="B101" s="12"/>
      <c r="C101" s="58"/>
      <c r="D101" s="12"/>
      <c r="E101" s="12"/>
      <c r="F101" s="12"/>
      <c r="G101" s="12"/>
      <c r="H101" s="12"/>
      <c r="I101" s="19"/>
      <c r="J101" s="12"/>
      <c r="K101" s="12"/>
      <c r="L101" s="12"/>
      <c r="M101" s="12"/>
      <c r="N101" s="12"/>
      <c r="O101" s="19"/>
      <c r="P101" s="59"/>
    </row>
    <row r="102" spans="1:16" ht="15" thickBot="1" x14ac:dyDescent="0.35">
      <c r="A102" s="370" t="s">
        <v>78</v>
      </c>
      <c r="B102" s="13" t="s">
        <v>8</v>
      </c>
      <c r="C102" s="56" t="s">
        <v>79</v>
      </c>
      <c r="D102" s="466">
        <f>'[5]Table 1 - Detailed'!D102</f>
        <v>3.97335776E-2</v>
      </c>
      <c r="E102" s="466">
        <f>'[5]Table 1 - Detailed'!E102</f>
        <v>4.1370183200000001E-2</v>
      </c>
      <c r="F102" s="466">
        <f>'[5]Table 1 - Detailed'!F102</f>
        <v>4.1450170800000005E-2</v>
      </c>
      <c r="G102" s="466">
        <f>'[5]Table 1 - Detailed'!G102</f>
        <v>4.15681044E-2</v>
      </c>
      <c r="H102" s="466">
        <f>'[5]Table 1 - Detailed'!H102</f>
        <v>4.1755693600000005E-2</v>
      </c>
      <c r="I102" s="466">
        <f>'[5]Table 1 - Detailed'!I102</f>
        <v>4.1755693600000005E-2</v>
      </c>
      <c r="J102" s="292">
        <f>'Table 1 - Detailed'!D102-D102</f>
        <v>0</v>
      </c>
      <c r="K102" s="292">
        <f>'Table 1 - Detailed'!E102-E102</f>
        <v>0</v>
      </c>
      <c r="L102" s="292">
        <f>'Table 1 - Detailed'!F102-F102</f>
        <v>-5.2001240000000559E-4</v>
      </c>
      <c r="M102" s="292">
        <f>'Table 1 - Detailed'!G102-G102</f>
        <v>-4.544895999999965E-4</v>
      </c>
      <c r="N102" s="292">
        <f>'Table 1 - Detailed'!H102-H102</f>
        <v>-5.6483400000000711E-4</v>
      </c>
      <c r="O102" s="293">
        <f>'Table 1 - Detailed'!I102-I102</f>
        <v>-5.6483400000000711E-4</v>
      </c>
      <c r="P102" s="59"/>
    </row>
    <row r="103" spans="1:16" x14ac:dyDescent="0.3">
      <c r="A103" s="42" t="s">
        <v>80</v>
      </c>
      <c r="B103" s="10" t="s">
        <v>81</v>
      </c>
      <c r="C103" s="54" t="s">
        <v>82</v>
      </c>
      <c r="D103" s="466">
        <f>'[5]Table 1 - Detailed'!D103</f>
        <v>2.8127005822837559E-2</v>
      </c>
      <c r="E103" s="466">
        <f>'[5]Table 1 - Detailed'!E103</f>
        <v>1.5616786789026005E-2</v>
      </c>
      <c r="F103" s="466">
        <f>'[5]Table 1 - Detailed'!F103</f>
        <v>1.7150013072825043E-2</v>
      </c>
      <c r="G103" s="466">
        <f>'[5]Table 1 - Detailed'!G103</f>
        <v>1.9381193589667944E-2</v>
      </c>
      <c r="H103" s="466">
        <f>'[5]Table 1 - Detailed'!H103</f>
        <v>1.9381193589667944E-2</v>
      </c>
      <c r="I103" s="466">
        <f>I91/H91-1</f>
        <v>2.0000000000000018E-2</v>
      </c>
      <c r="J103" s="22">
        <f>'Table 1 - Detailed'!D103-D103</f>
        <v>3.4882190176486194E-3</v>
      </c>
      <c r="K103" s="22">
        <f>'Table 1 - Detailed'!E103-E103</f>
        <v>9.3128412863909826E-3</v>
      </c>
      <c r="L103" s="22">
        <f>'Table 1 - Detailed'!F103-F103</f>
        <v>5.0684431304954813E-3</v>
      </c>
      <c r="M103" s="22">
        <f>'Table 1 - Detailed'!G103-G103</f>
        <v>1.679600007993276E-3</v>
      </c>
      <c r="N103" s="22">
        <f>'Table 1 - Detailed'!H103-H103</f>
        <v>1.679600007993276E-3</v>
      </c>
      <c r="O103" s="23">
        <f>'Table 1 - Detailed'!I103-I103</f>
        <v>0</v>
      </c>
      <c r="P103" s="59"/>
    </row>
    <row r="104" spans="1:16" x14ac:dyDescent="0.3">
      <c r="A104" s="42" t="s">
        <v>83</v>
      </c>
      <c r="B104" s="10" t="s">
        <v>84</v>
      </c>
      <c r="C104" s="54" t="s">
        <v>85</v>
      </c>
      <c r="D104" s="22">
        <f>(1+D102)*(1+D103)-1</f>
        <v>6.8978169991354976E-2</v>
      </c>
      <c r="E104" s="22">
        <f t="shared" ref="E104:I104" si="25">(1+E102)*(1+E103)-1</f>
        <v>5.763303931948327E-2</v>
      </c>
      <c r="F104" s="22">
        <f t="shared" si="25"/>
        <v>5.9311054843915745E-2</v>
      </c>
      <c r="G104" s="22">
        <f t="shared" si="25"/>
        <v>6.1754937468199822E-2</v>
      </c>
      <c r="H104" s="22">
        <f t="shared" si="25"/>
        <v>6.1946162370800417E-2</v>
      </c>
      <c r="I104" s="23">
        <f t="shared" si="25"/>
        <v>6.2590807472000076E-2</v>
      </c>
      <c r="J104" s="22">
        <f>'Table 1 - Detailed'!D104-D104</f>
        <v>3.6268184386720748E-3</v>
      </c>
      <c r="K104" s="22">
        <f>'Table 1 - Detailed'!E104-E104</f>
        <v>9.6981152365216428E-3</v>
      </c>
      <c r="L104" s="22">
        <f>'Table 1 - Detailed'!F104-F104</f>
        <v>4.7469646912101648E-3</v>
      </c>
      <c r="M104" s="22">
        <f>'Table 1 - Detailed'!G104-G104</f>
        <v>1.2853562848178512E-3</v>
      </c>
      <c r="N104" s="22">
        <f>'Table 1 - Detailed'!H104-H104</f>
        <v>1.1730030190064689E-3</v>
      </c>
      <c r="O104" s="23">
        <f>'Table 1 - Detailed'!I104-I104</f>
        <v>-5.7613068000006429E-4</v>
      </c>
      <c r="P104" s="59"/>
    </row>
    <row r="105" spans="1:16" ht="15" thickBot="1" x14ac:dyDescent="0.35">
      <c r="A105" s="210" t="s">
        <v>86</v>
      </c>
      <c r="B105" s="211" t="s">
        <v>65</v>
      </c>
      <c r="C105" s="212" t="s">
        <v>68</v>
      </c>
      <c r="D105" s="475">
        <f>'[5]Table 1 - Detailed'!D105</f>
        <v>0.46195206746633743</v>
      </c>
      <c r="E105" s="475">
        <f>'[5]Table 1 - Detailed'!E105</f>
        <v>21.349301728101903</v>
      </c>
      <c r="F105" s="475">
        <f>'[5]Table 1 - Detailed'!F105</f>
        <v>-20.594081163243949</v>
      </c>
      <c r="G105" s="475">
        <f>'[5]Table 1 - Detailed'!G105</f>
        <v>0.69261073488766467</v>
      </c>
      <c r="H105" s="475">
        <f>'[5]Table 1 - Detailed'!H105</f>
        <v>0</v>
      </c>
      <c r="I105" s="475">
        <f>'[5]Table 1 - Detailed'!I105</f>
        <v>0</v>
      </c>
      <c r="J105" s="144">
        <f>'Table 1 - Detailed'!D105-D105</f>
        <v>0</v>
      </c>
      <c r="K105" s="144">
        <f>'Table 1 - Detailed'!E105-E105</f>
        <v>-1.5873643523589998</v>
      </c>
      <c r="L105" s="144">
        <f>'Table 1 - Detailed'!F105-F105</f>
        <v>-5.9312219558085673</v>
      </c>
      <c r="M105" s="144">
        <f>'Table 1 - Detailed'!G105-G105</f>
        <v>-10.763092816646115</v>
      </c>
      <c r="N105" s="144">
        <f>'Table 1 - Detailed'!H105-H105</f>
        <v>-0.77430696344426797</v>
      </c>
      <c r="O105" s="145">
        <f>'Table 1 - Detailed'!I105-I105</f>
        <v>0</v>
      </c>
      <c r="P105" s="60"/>
    </row>
    <row r="107" spans="1:16" x14ac:dyDescent="0.3">
      <c r="A107" s="7" t="s">
        <v>124</v>
      </c>
      <c r="D107" s="24">
        <v>0</v>
      </c>
      <c r="E107" s="24">
        <v>0</v>
      </c>
      <c r="F107" s="24">
        <v>0</v>
      </c>
      <c r="G107" s="24">
        <v>0</v>
      </c>
      <c r="H107" s="24">
        <v>0</v>
      </c>
      <c r="I107" s="24"/>
      <c r="K107" s="24"/>
      <c r="L107" s="24"/>
      <c r="M107" s="24"/>
      <c r="N107" s="24"/>
      <c r="O107" s="24"/>
    </row>
  </sheetData>
  <mergeCells count="2">
    <mergeCell ref="J3:O3"/>
    <mergeCell ref="D3:I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79998168889431442"/>
  </sheetPr>
  <dimension ref="A1:K51"/>
  <sheetViews>
    <sheetView showGridLines="0" zoomScale="75" zoomScaleNormal="75" workbookViewId="0">
      <pane xSplit="3" ySplit="4" topLeftCell="D5" activePane="bottomRight" state="frozen"/>
      <selection activeCell="I40" sqref="I40"/>
      <selection pane="topRight" activeCell="I40" sqref="I40"/>
      <selection pane="bottomLeft" activeCell="I40" sqref="I40"/>
      <selection pane="bottomRight" activeCell="F58" sqref="F58"/>
    </sheetView>
  </sheetViews>
  <sheetFormatPr defaultRowHeight="14.4" x14ac:dyDescent="0.3"/>
  <cols>
    <col min="1" max="1" width="79.109375" bestFit="1" customWidth="1"/>
    <col min="2" max="2" width="17.44140625" style="15" bestFit="1" customWidth="1"/>
    <col min="3" max="3" width="18.88671875" style="15" bestFit="1" customWidth="1"/>
    <col min="4" max="9" width="9.88671875" style="15" bestFit="1" customWidth="1"/>
  </cols>
  <sheetData>
    <row r="1" spans="1:11" x14ac:dyDescent="0.3">
      <c r="A1" s="64" t="s">
        <v>305</v>
      </c>
      <c r="B1" s="65" t="str">
        <f>IF(Cover!C5="","Enter Company Name",Cover!C5)</f>
        <v>NGED South Wales</v>
      </c>
      <c r="J1" s="41"/>
    </row>
    <row r="2" spans="1:11" x14ac:dyDescent="0.3">
      <c r="A2" s="64" t="s">
        <v>306</v>
      </c>
      <c r="B2" s="66">
        <f>IF(Cover!C6="","Enter Date",Cover!C6)</f>
        <v>45689</v>
      </c>
      <c r="J2" s="41"/>
    </row>
    <row r="3" spans="1:11" ht="15" thickBot="1" x14ac:dyDescent="0.35">
      <c r="A3" s="64" t="s">
        <v>307</v>
      </c>
      <c r="B3" s="65" t="s">
        <v>323</v>
      </c>
      <c r="J3" s="41"/>
    </row>
    <row r="4" spans="1:11" x14ac:dyDescent="0.3">
      <c r="A4" s="100" t="s">
        <v>87</v>
      </c>
      <c r="B4" s="101"/>
      <c r="C4" s="169"/>
      <c r="D4" s="171" t="str">
        <f>IF(Cover!$C$6="","Reg Year",'Table 1 - Detailed'!D4)</f>
        <v>2023/24</v>
      </c>
      <c r="E4" s="102" t="str">
        <f>IF(Cover!$C$6="","Reg Year",'Table 1 - Detailed'!E4)</f>
        <v>2024/25</v>
      </c>
      <c r="F4" s="102" t="str">
        <f>IF(Cover!$C$6="","Reg Year",'Table 1 - Detailed'!F4)</f>
        <v>2025/26</v>
      </c>
      <c r="G4" s="102" t="str">
        <f>IF(Cover!$C$6="","Reg Year",'Table 1 - Detailed'!G4)</f>
        <v>2026/27</v>
      </c>
      <c r="H4" s="102" t="str">
        <f>IF(Cover!$C$6="","Reg Year",'Table 1 - Detailed'!H4)</f>
        <v>2027/28</v>
      </c>
      <c r="I4" s="103" t="str">
        <f>IF(Cover!$C$6="","Reg Year",'Table 1 - Detailed'!I4)</f>
        <v>2028/29</v>
      </c>
    </row>
    <row r="5" spans="1:11" ht="15" thickBot="1" x14ac:dyDescent="0.35">
      <c r="A5" s="104"/>
      <c r="B5" s="105"/>
      <c r="C5" s="170"/>
      <c r="D5" s="172" t="s">
        <v>313</v>
      </c>
      <c r="E5" s="106" t="s">
        <v>312</v>
      </c>
      <c r="F5" s="106" t="s">
        <v>314</v>
      </c>
      <c r="G5" s="106" t="s">
        <v>315</v>
      </c>
      <c r="H5" s="106" t="s">
        <v>316</v>
      </c>
      <c r="I5" s="107" t="s">
        <v>317</v>
      </c>
    </row>
    <row r="6" spans="1:11" ht="15" thickBot="1" x14ac:dyDescent="0.35">
      <c r="A6" s="121" t="s">
        <v>322</v>
      </c>
      <c r="B6" s="122" t="s">
        <v>1</v>
      </c>
      <c r="C6" s="216"/>
      <c r="D6" s="217">
        <f>'Table 1 - Detailed'!D89</f>
        <v>223.06600297948503</v>
      </c>
      <c r="E6" s="119">
        <f>'Table 1 - Detailed'!E89</f>
        <v>217.93300575695025</v>
      </c>
      <c r="F6" s="119">
        <f>'Table 1 - Detailed'!F89</f>
        <v>220.64336111045131</v>
      </c>
      <c r="G6" s="119">
        <f>'Table 1 - Detailed'!G89</f>
        <v>220.9719925952889</v>
      </c>
      <c r="H6" s="119">
        <f>'Table 1 - Detailed'!H89</f>
        <v>222.53216522517718</v>
      </c>
      <c r="I6" s="120">
        <f>'Table 1 - Detailed'!I89</f>
        <v>222.53216522517718</v>
      </c>
      <c r="K6" s="128" t="s">
        <v>374</v>
      </c>
    </row>
    <row r="7" spans="1:11" ht="15" thickBot="1" x14ac:dyDescent="0.35">
      <c r="A7" s="62"/>
      <c r="B7" s="63"/>
      <c r="C7" s="63"/>
      <c r="D7" s="63"/>
      <c r="E7" s="68"/>
      <c r="F7" s="68"/>
      <c r="G7" s="68"/>
      <c r="H7" s="68"/>
      <c r="I7" s="68"/>
      <c r="K7" s="128"/>
    </row>
    <row r="8" spans="1:11" ht="15" thickBot="1" x14ac:dyDescent="0.35">
      <c r="A8" s="168" t="s">
        <v>380</v>
      </c>
      <c r="B8" s="122"/>
      <c r="C8" s="218"/>
      <c r="D8" s="476" t="s">
        <v>381</v>
      </c>
      <c r="E8" s="477" t="s">
        <v>381</v>
      </c>
      <c r="F8" s="477" t="s">
        <v>381</v>
      </c>
      <c r="G8" s="477" t="s">
        <v>382</v>
      </c>
      <c r="H8" s="477" t="s">
        <v>382</v>
      </c>
      <c r="I8" s="478" t="s">
        <v>382</v>
      </c>
      <c r="K8" s="128"/>
    </row>
    <row r="9" spans="1:11" x14ac:dyDescent="0.3">
      <c r="A9" s="62"/>
      <c r="B9" s="63"/>
      <c r="C9" s="63"/>
      <c r="D9" s="63"/>
      <c r="E9" s="68"/>
      <c r="F9" s="68"/>
      <c r="G9" s="68"/>
      <c r="H9" s="68"/>
      <c r="I9" s="68"/>
      <c r="K9" s="128"/>
    </row>
    <row r="10" spans="1:11" ht="15" thickBot="1" x14ac:dyDescent="0.35">
      <c r="A10" s="62" t="s">
        <v>174</v>
      </c>
      <c r="K10" s="128"/>
    </row>
    <row r="11" spans="1:11" ht="15" thickBot="1" x14ac:dyDescent="0.35">
      <c r="A11" s="114" t="s">
        <v>173</v>
      </c>
      <c r="B11" s="115"/>
      <c r="C11" s="219"/>
      <c r="D11" s="221" t="str">
        <f>D4</f>
        <v>2023/24</v>
      </c>
      <c r="E11" s="116" t="str">
        <f t="shared" ref="E11:I11" si="0">E4</f>
        <v>2024/25</v>
      </c>
      <c r="F11" s="116" t="str">
        <f t="shared" si="0"/>
        <v>2025/26</v>
      </c>
      <c r="G11" s="116" t="str">
        <f t="shared" si="0"/>
        <v>2026/27</v>
      </c>
      <c r="H11" s="116" t="str">
        <f t="shared" si="0"/>
        <v>2027/28</v>
      </c>
      <c r="I11" s="117" t="str">
        <f t="shared" si="0"/>
        <v>2028/29</v>
      </c>
      <c r="K11" s="128"/>
    </row>
    <row r="12" spans="1:11" x14ac:dyDescent="0.3">
      <c r="A12" s="479"/>
      <c r="B12" s="123" t="s">
        <v>1</v>
      </c>
      <c r="C12" s="51"/>
      <c r="D12" s="482"/>
      <c r="E12" s="483"/>
      <c r="F12" s="483"/>
      <c r="G12" s="483"/>
      <c r="H12" s="483"/>
      <c r="I12" s="484"/>
      <c r="K12" s="128" t="s">
        <v>375</v>
      </c>
    </row>
    <row r="13" spans="1:11" x14ac:dyDescent="0.3">
      <c r="A13" s="480"/>
      <c r="B13" s="124" t="s">
        <v>1</v>
      </c>
      <c r="C13" s="54"/>
      <c r="D13" s="485"/>
      <c r="E13" s="486"/>
      <c r="F13" s="486"/>
      <c r="G13" s="486"/>
      <c r="H13" s="486"/>
      <c r="I13" s="487"/>
      <c r="K13" s="128" t="s">
        <v>375</v>
      </c>
    </row>
    <row r="14" spans="1:11" x14ac:dyDescent="0.3">
      <c r="A14" s="480"/>
      <c r="B14" s="124" t="s">
        <v>1</v>
      </c>
      <c r="C14" s="54"/>
      <c r="D14" s="485"/>
      <c r="E14" s="486"/>
      <c r="F14" s="486"/>
      <c r="G14" s="486"/>
      <c r="H14" s="486"/>
      <c r="I14" s="487"/>
      <c r="K14" s="128" t="s">
        <v>375</v>
      </c>
    </row>
    <row r="15" spans="1:11" x14ac:dyDescent="0.3">
      <c r="A15" s="480"/>
      <c r="B15" s="124" t="s">
        <v>1</v>
      </c>
      <c r="C15" s="54"/>
      <c r="D15" s="485"/>
      <c r="E15" s="486"/>
      <c r="F15" s="486"/>
      <c r="G15" s="486"/>
      <c r="H15" s="486"/>
      <c r="I15" s="487"/>
      <c r="K15" s="128" t="s">
        <v>375</v>
      </c>
    </row>
    <row r="16" spans="1:11" x14ac:dyDescent="0.3">
      <c r="A16" s="480"/>
      <c r="B16" s="124" t="s">
        <v>1</v>
      </c>
      <c r="C16" s="54"/>
      <c r="D16" s="485"/>
      <c r="E16" s="486"/>
      <c r="F16" s="486"/>
      <c r="G16" s="486"/>
      <c r="H16" s="486"/>
      <c r="I16" s="487"/>
      <c r="K16" s="128" t="s">
        <v>375</v>
      </c>
    </row>
    <row r="17" spans="1:11" x14ac:dyDescent="0.3">
      <c r="A17" s="480"/>
      <c r="B17" s="124" t="s">
        <v>1</v>
      </c>
      <c r="C17" s="54"/>
      <c r="D17" s="485"/>
      <c r="E17" s="486"/>
      <c r="F17" s="486"/>
      <c r="G17" s="486"/>
      <c r="H17" s="486"/>
      <c r="I17" s="487"/>
      <c r="K17" s="128" t="s">
        <v>375</v>
      </c>
    </row>
    <row r="18" spans="1:11" x14ac:dyDescent="0.3">
      <c r="A18" s="480"/>
      <c r="B18" s="124" t="s">
        <v>1</v>
      </c>
      <c r="C18" s="54"/>
      <c r="D18" s="485"/>
      <c r="E18" s="486"/>
      <c r="F18" s="486"/>
      <c r="G18" s="486"/>
      <c r="H18" s="486"/>
      <c r="I18" s="487"/>
      <c r="K18" s="128" t="s">
        <v>375</v>
      </c>
    </row>
    <row r="19" spans="1:11" x14ac:dyDescent="0.3">
      <c r="A19" s="480"/>
      <c r="B19" s="124" t="s">
        <v>1</v>
      </c>
      <c r="C19" s="54"/>
      <c r="D19" s="485"/>
      <c r="E19" s="486"/>
      <c r="F19" s="486"/>
      <c r="G19" s="486"/>
      <c r="H19" s="486"/>
      <c r="I19" s="487"/>
      <c r="K19" s="128" t="s">
        <v>375</v>
      </c>
    </row>
    <row r="20" spans="1:11" x14ac:dyDescent="0.3">
      <c r="A20" s="480"/>
      <c r="B20" s="124" t="s">
        <v>1</v>
      </c>
      <c r="C20" s="54"/>
      <c r="D20" s="485"/>
      <c r="E20" s="486"/>
      <c r="F20" s="486"/>
      <c r="G20" s="486"/>
      <c r="H20" s="486"/>
      <c r="I20" s="487"/>
      <c r="K20" s="128" t="s">
        <v>375</v>
      </c>
    </row>
    <row r="21" spans="1:11" ht="15" thickBot="1" x14ac:dyDescent="0.35">
      <c r="A21" s="481"/>
      <c r="B21" s="125" t="s">
        <v>1</v>
      </c>
      <c r="C21" s="220"/>
      <c r="D21" s="488"/>
      <c r="E21" s="489"/>
      <c r="F21" s="489"/>
      <c r="G21" s="489"/>
      <c r="H21" s="489"/>
      <c r="I21" s="490"/>
      <c r="K21" s="128" t="s">
        <v>375</v>
      </c>
    </row>
    <row r="22" spans="1:11" ht="15" thickBot="1" x14ac:dyDescent="0.35">
      <c r="A22" s="378" t="s">
        <v>404</v>
      </c>
      <c r="B22" s="376" t="s">
        <v>1</v>
      </c>
      <c r="C22" s="421"/>
      <c r="D22" s="448">
        <f>SUM(D12:D21)</f>
        <v>0</v>
      </c>
      <c r="E22" s="122">
        <f t="shared" ref="E22:I22" si="1">SUM(E12:E21)</f>
        <v>0</v>
      </c>
      <c r="F22" s="122">
        <f t="shared" si="1"/>
        <v>0</v>
      </c>
      <c r="G22" s="122">
        <f t="shared" si="1"/>
        <v>0</v>
      </c>
      <c r="H22" s="122">
        <f t="shared" si="1"/>
        <v>0</v>
      </c>
      <c r="I22" s="449">
        <f t="shared" si="1"/>
        <v>0</v>
      </c>
      <c r="K22" s="128"/>
    </row>
    <row r="23" spans="1:11" ht="15" thickBot="1" x14ac:dyDescent="0.35"/>
    <row r="24" spans="1:11" ht="15" thickBot="1" x14ac:dyDescent="0.35">
      <c r="A24" s="378" t="s">
        <v>324</v>
      </c>
      <c r="B24" s="376" t="s">
        <v>1</v>
      </c>
      <c r="C24" s="421"/>
      <c r="D24" s="222">
        <f>SUM(D6,D22)</f>
        <v>223.06600297948503</v>
      </c>
      <c r="E24" s="126">
        <f>SUM(E6,E12:E21)</f>
        <v>217.93300575695025</v>
      </c>
      <c r="F24" s="126">
        <f t="shared" ref="F24:I24" si="2">SUM(F6,F12:F21)</f>
        <v>220.64336111045131</v>
      </c>
      <c r="G24" s="126">
        <f t="shared" si="2"/>
        <v>220.9719925952889</v>
      </c>
      <c r="H24" s="126">
        <f t="shared" si="2"/>
        <v>222.53216522517718</v>
      </c>
      <c r="I24" s="127">
        <f t="shared" si="2"/>
        <v>222.53216522517718</v>
      </c>
    </row>
    <row r="25" spans="1:11" ht="15" thickBot="1" x14ac:dyDescent="0.35"/>
    <row r="26" spans="1:11" ht="15.6" x14ac:dyDescent="0.3">
      <c r="A26" s="2" t="s">
        <v>63</v>
      </c>
      <c r="B26" s="161" t="s">
        <v>10</v>
      </c>
      <c r="C26" s="223" t="s">
        <v>336</v>
      </c>
      <c r="D26" s="225">
        <f>'Table 1 - Detailed'!D90</f>
        <v>1.2806226704273584</v>
      </c>
      <c r="E26" s="163">
        <f>'Table 1 - Detailed'!E90</f>
        <v>1.321109844088743</v>
      </c>
      <c r="F26" s="163">
        <f>'Table 1 - Detailed'!F90</f>
        <v>1.3540446211486474</v>
      </c>
      <c r="G26" s="163">
        <f>'Table 1 - Detailed'!G90</f>
        <v>1.3841294022609805</v>
      </c>
      <c r="H26" s="163">
        <f>'Table 1 - Detailed'!H90</f>
        <v>1.4132802659144532</v>
      </c>
      <c r="I26" s="164">
        <f>'Table 1 - Detailed'!I90</f>
        <v>1.4415458712327422</v>
      </c>
      <c r="K26" s="128" t="s">
        <v>376</v>
      </c>
    </row>
    <row r="27" spans="1:11" ht="15" thickBot="1" x14ac:dyDescent="0.35">
      <c r="A27" s="214" t="s">
        <v>64</v>
      </c>
      <c r="B27" s="162" t="s">
        <v>10</v>
      </c>
      <c r="C27" s="224" t="s">
        <v>337</v>
      </c>
      <c r="D27" s="226">
        <f>'Table 1 - Detailed'!D91</f>
        <v>376.71650221738128</v>
      </c>
      <c r="E27" s="165">
        <f>'Table 1 - Detailed'!E91</f>
        <v>388.62647913610527</v>
      </c>
      <c r="F27" s="165">
        <f>'Table 1 - Detailed'!F91</f>
        <v>398.31479272122715</v>
      </c>
      <c r="G27" s="165">
        <f>'Table 1 - Detailed'!G91</f>
        <v>407.16473249843847</v>
      </c>
      <c r="H27" s="165">
        <f>'Table 1 - Detailed'!H91</f>
        <v>415.73994488983499</v>
      </c>
      <c r="I27" s="166">
        <f>'Table 1 - Detailed'!I91</f>
        <v>424.05474378763171</v>
      </c>
      <c r="K27" s="128" t="s">
        <v>377</v>
      </c>
    </row>
    <row r="28" spans="1:11" ht="15" thickBot="1" x14ac:dyDescent="0.35">
      <c r="A28" s="3"/>
      <c r="B28" s="12"/>
      <c r="C28" s="12"/>
      <c r="D28" s="12"/>
      <c r="E28" s="18"/>
      <c r="F28" s="12"/>
      <c r="G28" s="12"/>
      <c r="H28" s="12"/>
      <c r="I28" s="19"/>
    </row>
    <row r="29" spans="1:11" x14ac:dyDescent="0.3">
      <c r="A29" s="432" t="s">
        <v>325</v>
      </c>
      <c r="B29" s="13" t="s">
        <v>65</v>
      </c>
      <c r="C29" s="56" t="s">
        <v>66</v>
      </c>
      <c r="D29" s="177">
        <f t="shared" ref="D29:I29" si="3">D24*D26</f>
        <v>285.66338041714522</v>
      </c>
      <c r="E29" s="20">
        <f t="shared" si="3"/>
        <v>287.91343925735566</v>
      </c>
      <c r="F29" s="20">
        <f t="shared" si="3"/>
        <v>298.76095630376523</v>
      </c>
      <c r="G29" s="20">
        <f t="shared" si="3"/>
        <v>305.85383202733505</v>
      </c>
      <c r="H29" s="20">
        <f t="shared" si="3"/>
        <v>314.50031764395743</v>
      </c>
      <c r="I29" s="21">
        <f t="shared" si="3"/>
        <v>320.79032399683661</v>
      </c>
    </row>
    <row r="30" spans="1:11" x14ac:dyDescent="0.3">
      <c r="A30" s="8" t="s">
        <v>67</v>
      </c>
      <c r="B30" s="10" t="s">
        <v>65</v>
      </c>
      <c r="C30" s="54" t="s">
        <v>68</v>
      </c>
      <c r="D30" s="178">
        <f>D41</f>
        <v>0.46195206746633743</v>
      </c>
      <c r="E30" s="16">
        <f>E41</f>
        <v>19.761937375742903</v>
      </c>
      <c r="F30" s="16">
        <f t="shared" ref="F30:I30" si="4">F41</f>
        <v>-26.525303119052516</v>
      </c>
      <c r="G30" s="16">
        <f t="shared" si="4"/>
        <v>-10.070482081758451</v>
      </c>
      <c r="H30" s="16">
        <f t="shared" si="4"/>
        <v>0</v>
      </c>
      <c r="I30" s="17">
        <f t="shared" si="4"/>
        <v>0</v>
      </c>
    </row>
    <row r="31" spans="1:11" x14ac:dyDescent="0.3">
      <c r="A31" s="8" t="s">
        <v>69</v>
      </c>
      <c r="B31" s="10" t="s">
        <v>65</v>
      </c>
      <c r="C31" s="54" t="s">
        <v>70</v>
      </c>
      <c r="D31" s="201">
        <f>'Table 1 - Detailed'!D95</f>
        <v>0</v>
      </c>
      <c r="E31" s="152">
        <f>'Table 1 - Detailed'!E95</f>
        <v>0</v>
      </c>
      <c r="F31" s="152">
        <f>'Table 1 - Detailed'!F95</f>
        <v>0</v>
      </c>
      <c r="G31" s="152">
        <f>'Table 1 - Detailed'!G95</f>
        <v>0</v>
      </c>
      <c r="H31" s="152">
        <f>'Table 1 - Detailed'!H95</f>
        <v>0</v>
      </c>
      <c r="I31" s="153">
        <f>'Table 1 - Detailed'!I95</f>
        <v>0</v>
      </c>
      <c r="K31" s="128" t="s">
        <v>378</v>
      </c>
    </row>
    <row r="32" spans="1:11" ht="15" thickBot="1" x14ac:dyDescent="0.35">
      <c r="A32" s="431" t="s">
        <v>71</v>
      </c>
      <c r="B32" s="14" t="s">
        <v>65</v>
      </c>
      <c r="C32" s="57" t="s">
        <v>72</v>
      </c>
      <c r="D32" s="202">
        <f>'Table 1 - Detailed'!D96</f>
        <v>-15.476988251258661</v>
      </c>
      <c r="E32" s="154">
        <f>'Table 1 - Detailed'!E96</f>
        <v>19.033344998711964</v>
      </c>
      <c r="F32" s="154">
        <f>'Table 1 - Detailed'!F96</f>
        <v>0.70889709876424756</v>
      </c>
      <c r="G32" s="154">
        <f>'Table 1 - Detailed'!G96</f>
        <v>0.77205666167030262</v>
      </c>
      <c r="H32" s="154">
        <f>'Table 1 - Detailed'!H96</f>
        <v>0.82072734041597273</v>
      </c>
      <c r="I32" s="155">
        <f>'Table 1 - Detailed'!I96</f>
        <v>0</v>
      </c>
      <c r="K32" s="128" t="s">
        <v>379</v>
      </c>
    </row>
    <row r="33" spans="1:11" ht="15" thickBot="1" x14ac:dyDescent="0.35">
      <c r="A33" s="445" t="s">
        <v>326</v>
      </c>
      <c r="B33" s="422" t="s">
        <v>65</v>
      </c>
      <c r="C33" s="423" t="s">
        <v>74</v>
      </c>
      <c r="D33" s="270">
        <f>SUM(D29:D32)</f>
        <v>270.64834423335287</v>
      </c>
      <c r="E33" s="271">
        <f>SUM(E29:E32)</f>
        <v>326.70872163181053</v>
      </c>
      <c r="F33" s="271">
        <f t="shared" ref="F33:I33" si="5">SUM(F29:F32)</f>
        <v>272.94455028347693</v>
      </c>
      <c r="G33" s="271">
        <f t="shared" si="5"/>
        <v>296.55540660724694</v>
      </c>
      <c r="H33" s="271">
        <f t="shared" si="5"/>
        <v>315.32104498437343</v>
      </c>
      <c r="I33" s="272">
        <f t="shared" si="5"/>
        <v>320.79032399683661</v>
      </c>
    </row>
    <row r="34" spans="1:11" ht="15" thickBot="1" x14ac:dyDescent="0.35">
      <c r="A34" s="3"/>
      <c r="B34" s="12"/>
      <c r="C34" s="12"/>
      <c r="D34" s="12"/>
      <c r="E34" s="18"/>
      <c r="F34" s="12"/>
      <c r="G34" s="12"/>
      <c r="H34" s="12"/>
      <c r="I34" s="19"/>
    </row>
    <row r="35" spans="1:11" x14ac:dyDescent="0.3">
      <c r="A35" s="446" t="s">
        <v>387</v>
      </c>
      <c r="B35" s="424" t="s">
        <v>65</v>
      </c>
      <c r="C35" s="425" t="s">
        <v>76</v>
      </c>
      <c r="D35" s="442">
        <f>IF(D8="Y",'Table 1 - Detailed'!D99,D33)</f>
        <v>252.22409897166668</v>
      </c>
      <c r="E35" s="443">
        <f>IF(E8="Y",'Table 1 - Detailed'!E99,E33)</f>
        <v>351.56071157497553</v>
      </c>
      <c r="F35" s="443">
        <f>IF(F8="Y",'Table 1 - Detailed'!F99,F33)</f>
        <v>282.40877300148071</v>
      </c>
      <c r="G35" s="443">
        <f>IF(G8="Y",'Table 1 - Detailed'!G99,G33)</f>
        <v>296.55540660724694</v>
      </c>
      <c r="H35" s="443">
        <f>IF(H8="Y",'Table 1 - Detailed'!H99,H33)</f>
        <v>315.32104498437343</v>
      </c>
      <c r="I35" s="444">
        <f>IF(I8="Y",'Table 1 - Detailed'!I99,I33)</f>
        <v>320.79032399683661</v>
      </c>
      <c r="K35" s="128" t="s">
        <v>383</v>
      </c>
    </row>
    <row r="36" spans="1:11" ht="15" thickBot="1" x14ac:dyDescent="0.35">
      <c r="A36" s="241" t="s">
        <v>388</v>
      </c>
      <c r="B36" s="125" t="s">
        <v>65</v>
      </c>
      <c r="C36" s="213"/>
      <c r="D36" s="175">
        <f>D33-D35</f>
        <v>18.424245261686195</v>
      </c>
      <c r="E36" s="144">
        <f t="shared" ref="E36:I36" si="6">E33-E35</f>
        <v>-24.851989943164995</v>
      </c>
      <c r="F36" s="144">
        <f t="shared" si="6"/>
        <v>-9.4642227180037821</v>
      </c>
      <c r="G36" s="144">
        <f t="shared" si="6"/>
        <v>0</v>
      </c>
      <c r="H36" s="144">
        <f t="shared" si="6"/>
        <v>0</v>
      </c>
      <c r="I36" s="145">
        <f t="shared" si="6"/>
        <v>0</v>
      </c>
    </row>
    <row r="37" spans="1:11" ht="15" thickBot="1" x14ac:dyDescent="0.35">
      <c r="A37" s="3"/>
      <c r="B37" s="12"/>
      <c r="C37" s="12"/>
      <c r="D37" s="12"/>
      <c r="E37" s="12"/>
      <c r="F37" s="12"/>
      <c r="G37" s="12"/>
      <c r="H37" s="12"/>
      <c r="I37" s="19"/>
    </row>
    <row r="38" spans="1:11" x14ac:dyDescent="0.3">
      <c r="A38" s="432" t="s">
        <v>78</v>
      </c>
      <c r="B38" s="13" t="s">
        <v>8</v>
      </c>
      <c r="C38" s="56" t="s">
        <v>79</v>
      </c>
      <c r="D38" s="203">
        <f>'Table 1 - Detailed'!D102</f>
        <v>3.97335776E-2</v>
      </c>
      <c r="E38" s="156">
        <f>'Table 1 - Detailed'!E102</f>
        <v>4.1370183200000001E-2</v>
      </c>
      <c r="F38" s="156">
        <f>'Table 1 - Detailed'!F102</f>
        <v>4.09301584E-2</v>
      </c>
      <c r="G38" s="156">
        <f>'Table 1 - Detailed'!G102</f>
        <v>4.1113614800000003E-2</v>
      </c>
      <c r="H38" s="156">
        <f>'Table 1 - Detailed'!H102</f>
        <v>4.1190859599999997E-2</v>
      </c>
      <c r="I38" s="157">
        <f>'Table 1 - Detailed'!I102</f>
        <v>4.1190859599999997E-2</v>
      </c>
    </row>
    <row r="39" spans="1:11" x14ac:dyDescent="0.3">
      <c r="A39" s="8" t="s">
        <v>80</v>
      </c>
      <c r="B39" s="10" t="s">
        <v>81</v>
      </c>
      <c r="C39" s="54" t="s">
        <v>82</v>
      </c>
      <c r="D39" s="204">
        <f>'Table 1 - Detailed'!D103</f>
        <v>3.1615224840486178E-2</v>
      </c>
      <c r="E39" s="158">
        <f>'Table 1 - Detailed'!E103</f>
        <v>2.4929628075416987E-2</v>
      </c>
      <c r="F39" s="158">
        <f>'Table 1 - Detailed'!F103</f>
        <v>2.2218456203320525E-2</v>
      </c>
      <c r="G39" s="158">
        <f>'Table 1 - Detailed'!G103</f>
        <v>2.106079359766122E-2</v>
      </c>
      <c r="H39" s="158">
        <f>'Table 1 - Detailed'!H103</f>
        <v>2.106079359766122E-2</v>
      </c>
      <c r="I39" s="159">
        <f>'Table 1 - Detailed'!I103</f>
        <v>2.0000000000000018E-2</v>
      </c>
    </row>
    <row r="40" spans="1:11" ht="15" thickBot="1" x14ac:dyDescent="0.35">
      <c r="A40" s="431" t="s">
        <v>83</v>
      </c>
      <c r="B40" s="14" t="s">
        <v>84</v>
      </c>
      <c r="C40" s="57" t="s">
        <v>85</v>
      </c>
      <c r="D40" s="238">
        <f>(1+D38)*(1+D39)-1</f>
        <v>7.2604988430027051E-2</v>
      </c>
      <c r="E40" s="239">
        <f t="shared" ref="E40:H40" si="7">(1+E38)*(1+E39)-1</f>
        <v>6.7331154556004913E-2</v>
      </c>
      <c r="F40" s="239">
        <f t="shared" si="7"/>
        <v>6.405801953512591E-2</v>
      </c>
      <c r="G40" s="239">
        <f t="shared" si="7"/>
        <v>6.3040293753017673E-2</v>
      </c>
      <c r="H40" s="239">
        <f t="shared" si="7"/>
        <v>6.3119165389806886E-2</v>
      </c>
      <c r="I40" s="240">
        <f t="shared" ref="I40" si="8">(1+I38)*(1+I39)-1</f>
        <v>6.2014676792000012E-2</v>
      </c>
    </row>
    <row r="41" spans="1:11" ht="15" thickBot="1" x14ac:dyDescent="0.35">
      <c r="A41" s="378" t="s">
        <v>389</v>
      </c>
      <c r="B41" s="376" t="s">
        <v>65</v>
      </c>
      <c r="C41" s="421" t="s">
        <v>68</v>
      </c>
      <c r="D41" s="179">
        <f>'Table 1 - Detailed'!D94</f>
        <v>0.46195206746633743</v>
      </c>
      <c r="E41" s="137">
        <f>D36*(1+D40)</f>
        <v>19.761937375742903</v>
      </c>
      <c r="F41" s="137">
        <f t="shared" ref="F41:I41" si="9">E36*(1+E40)</f>
        <v>-26.525303119052516</v>
      </c>
      <c r="G41" s="137">
        <f t="shared" si="9"/>
        <v>-10.070482081758451</v>
      </c>
      <c r="H41" s="137">
        <f t="shared" si="9"/>
        <v>0</v>
      </c>
      <c r="I41" s="138">
        <f t="shared" si="9"/>
        <v>0</v>
      </c>
    </row>
    <row r="42" spans="1:11" ht="15" thickBot="1" x14ac:dyDescent="0.35"/>
    <row r="43" spans="1:11" ht="15" thickBot="1" x14ac:dyDescent="0.35">
      <c r="A43" s="447" t="s">
        <v>176</v>
      </c>
      <c r="B43" s="122" t="s">
        <v>177</v>
      </c>
      <c r="C43" s="216"/>
      <c r="D43" s="491">
        <v>-0.02</v>
      </c>
      <c r="E43" s="492">
        <v>-0.02</v>
      </c>
      <c r="F43" s="492">
        <v>-0.02</v>
      </c>
      <c r="G43" s="492">
        <v>-0.02</v>
      </c>
      <c r="H43" s="492">
        <v>-0.02</v>
      </c>
      <c r="I43" s="493">
        <v>-0.02</v>
      </c>
    </row>
    <row r="44" spans="1:11" x14ac:dyDescent="0.3">
      <c r="A44" s="430" t="s">
        <v>390</v>
      </c>
      <c r="B44" s="45" t="s">
        <v>65</v>
      </c>
      <c r="C44" s="51"/>
      <c r="D44" s="235">
        <f t="shared" ref="D44:I44" si="10">D33*(1+D43)</f>
        <v>265.2353773486858</v>
      </c>
      <c r="E44" s="236">
        <f t="shared" si="10"/>
        <v>320.1745471991743</v>
      </c>
      <c r="F44" s="236">
        <f t="shared" si="10"/>
        <v>267.48565927780737</v>
      </c>
      <c r="G44" s="236">
        <f t="shared" si="10"/>
        <v>290.62429847510197</v>
      </c>
      <c r="H44" s="236">
        <f t="shared" si="10"/>
        <v>309.01462408468598</v>
      </c>
      <c r="I44" s="237">
        <f t="shared" si="10"/>
        <v>314.37451751689986</v>
      </c>
    </row>
    <row r="45" spans="1:11" ht="15" thickBot="1" x14ac:dyDescent="0.35">
      <c r="A45" s="431" t="str">
        <f>IF(E43&lt;0,"Reduction In K","Increase In K")&amp;" for Inflation Parameters"</f>
        <v>Reduction In K for Inflation Parameters</v>
      </c>
      <c r="B45" s="14" t="s">
        <v>65</v>
      </c>
      <c r="C45" s="57"/>
      <c r="D45" s="227"/>
      <c r="E45" s="207">
        <f>(D44-D33)*(1+D43)</f>
        <v>-5.3047075469737299</v>
      </c>
      <c r="F45" s="207">
        <f>(E44-E33)*(1+E43)</f>
        <v>-6.4034909439835097</v>
      </c>
      <c r="G45" s="207">
        <f t="shared" ref="G45:I45" si="11">(F44-F33)*(1+F43)</f>
        <v>-5.3497131855561655</v>
      </c>
      <c r="H45" s="207">
        <f t="shared" si="11"/>
        <v>-5.8124859695020712</v>
      </c>
      <c r="I45" s="208">
        <f t="shared" si="11"/>
        <v>-6.1802924816937033</v>
      </c>
    </row>
    <row r="46" spans="1:11" ht="15" thickBot="1" x14ac:dyDescent="0.35">
      <c r="A46" s="445" t="s">
        <v>391</v>
      </c>
      <c r="B46" s="422" t="s">
        <v>65</v>
      </c>
      <c r="C46" s="423"/>
      <c r="D46" s="270">
        <f>D44+D45</f>
        <v>265.2353773486858</v>
      </c>
      <c r="E46" s="271">
        <f>E44+E45</f>
        <v>314.8698396522006</v>
      </c>
      <c r="F46" s="271">
        <f t="shared" ref="F46:I46" si="12">F44+F45</f>
        <v>261.08216833382386</v>
      </c>
      <c r="G46" s="271">
        <f t="shared" si="12"/>
        <v>285.27458528954583</v>
      </c>
      <c r="H46" s="271">
        <f t="shared" si="12"/>
        <v>303.20213811518391</v>
      </c>
      <c r="I46" s="272">
        <f t="shared" si="12"/>
        <v>308.19422503520616</v>
      </c>
    </row>
    <row r="47" spans="1:11" ht="15" thickBot="1" x14ac:dyDescent="0.35"/>
    <row r="48" spans="1:11" ht="15" thickBot="1" x14ac:dyDescent="0.35">
      <c r="A48" s="447" t="s">
        <v>178</v>
      </c>
      <c r="B48" s="122" t="s">
        <v>177</v>
      </c>
      <c r="C48" s="216"/>
      <c r="D48" s="491">
        <v>-0.02</v>
      </c>
      <c r="E48" s="492">
        <v>-0.02</v>
      </c>
      <c r="F48" s="492">
        <v>0.02</v>
      </c>
      <c r="G48" s="492"/>
      <c r="H48" s="492"/>
      <c r="I48" s="493"/>
    </row>
    <row r="49" spans="1:9" x14ac:dyDescent="0.3">
      <c r="A49" s="430" t="s">
        <v>392</v>
      </c>
      <c r="B49" s="45" t="s">
        <v>65</v>
      </c>
      <c r="C49" s="51"/>
      <c r="D49" s="235">
        <f t="shared" ref="D49:I49" si="13">D35*(1+D48)</f>
        <v>247.17961699223335</v>
      </c>
      <c r="E49" s="236">
        <f t="shared" si="13"/>
        <v>344.52949734347601</v>
      </c>
      <c r="F49" s="236">
        <f t="shared" si="13"/>
        <v>288.05694846151033</v>
      </c>
      <c r="G49" s="236">
        <f t="shared" si="13"/>
        <v>296.55540660724694</v>
      </c>
      <c r="H49" s="236">
        <f t="shared" si="13"/>
        <v>315.32104498437343</v>
      </c>
      <c r="I49" s="237">
        <f t="shared" si="13"/>
        <v>320.79032399683661</v>
      </c>
    </row>
    <row r="50" spans="1:9" ht="15" thickBot="1" x14ac:dyDescent="0.35">
      <c r="A50" s="431" t="str">
        <f>IF(E48&lt;0,"Reduction In K","Increase In K")&amp; " for Recovered Revenue Parameters"</f>
        <v>Reduction In K for Recovered Revenue Parameters</v>
      </c>
      <c r="B50" s="14" t="s">
        <v>65</v>
      </c>
      <c r="C50" s="57"/>
      <c r="D50" s="227"/>
      <c r="E50" s="207">
        <f>(D49-D35)*(1+D48)*-1</f>
        <v>4.9435923398446615</v>
      </c>
      <c r="F50" s="207">
        <f>(E49-E35)*(1+E48)*-1</f>
        <v>6.890589946869528</v>
      </c>
      <c r="G50" s="207">
        <f>((F49-F35)-F50)*(1+F48)*-1</f>
        <v>1.2672627765767062</v>
      </c>
      <c r="H50" s="207"/>
      <c r="I50" s="208"/>
    </row>
    <row r="51" spans="1:9" ht="15" thickBot="1" x14ac:dyDescent="0.35">
      <c r="A51" s="445" t="s">
        <v>393</v>
      </c>
      <c r="B51" s="422" t="s">
        <v>65</v>
      </c>
      <c r="C51" s="423"/>
      <c r="D51" s="270">
        <f>D49+D50</f>
        <v>247.17961699223335</v>
      </c>
      <c r="E51" s="271">
        <f>E49+E50</f>
        <v>349.47308968332067</v>
      </c>
      <c r="F51" s="271">
        <f t="shared" ref="F51" si="14">F49+F50</f>
        <v>294.94753840837984</v>
      </c>
      <c r="G51" s="271">
        <f t="shared" ref="G51" si="15">G49+G50</f>
        <v>297.82266938382367</v>
      </c>
      <c r="H51" s="271">
        <f t="shared" ref="H51" si="16">H49+H50</f>
        <v>315.32104498437343</v>
      </c>
      <c r="I51" s="272">
        <f t="shared" ref="I51" si="17">I49+I50</f>
        <v>320.79032399683661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79998168889431442"/>
  </sheetPr>
  <dimension ref="A1:H39"/>
  <sheetViews>
    <sheetView showGridLines="0" zoomScale="75" zoomScaleNormal="75" workbookViewId="0">
      <pane xSplit="1" ySplit="7" topLeftCell="B8" activePane="bottomRight" state="frozen"/>
      <selection activeCell="A23" sqref="A23"/>
      <selection pane="topRight" activeCell="A23" sqref="A23"/>
      <selection pane="bottomLeft" activeCell="A23" sqref="A23"/>
      <selection pane="bottomRight" activeCell="B12" sqref="B12"/>
    </sheetView>
  </sheetViews>
  <sheetFormatPr defaultRowHeight="14.4" x14ac:dyDescent="0.3"/>
  <cols>
    <col min="1" max="1" width="44.6640625" customWidth="1"/>
    <col min="2" max="8" width="13.6640625" customWidth="1"/>
  </cols>
  <sheetData>
    <row r="1" spans="1:8" x14ac:dyDescent="0.3">
      <c r="A1" s="64" t="s">
        <v>305</v>
      </c>
      <c r="B1" s="65" t="str">
        <f>IF(Cover!C5="","Enter Company Name",Cover!C5)</f>
        <v>NGED South Wales</v>
      </c>
    </row>
    <row r="2" spans="1:8" x14ac:dyDescent="0.3">
      <c r="A2" s="64" t="s">
        <v>306</v>
      </c>
      <c r="B2" s="66">
        <f>IF(Cover!C6="","Enter Date",Cover!C6)</f>
        <v>45689</v>
      </c>
    </row>
    <row r="3" spans="1:8" x14ac:dyDescent="0.3">
      <c r="A3" s="64" t="s">
        <v>307</v>
      </c>
      <c r="B3" s="65" t="s">
        <v>327</v>
      </c>
    </row>
    <row r="4" spans="1:8" x14ac:dyDescent="0.3">
      <c r="A4" t="s">
        <v>142</v>
      </c>
      <c r="B4" s="205">
        <v>2024</v>
      </c>
    </row>
    <row r="5" spans="1:8" x14ac:dyDescent="0.3">
      <c r="A5" s="205" t="str">
        <f>"April 20XX Illustrative Prices"</f>
        <v>April 20XX Illustrative Prices</v>
      </c>
    </row>
    <row r="6" spans="1:8" ht="36" customHeight="1" x14ac:dyDescent="0.3">
      <c r="A6" s="521" t="s">
        <v>406</v>
      </c>
      <c r="B6" s="521"/>
      <c r="C6" s="521"/>
      <c r="D6" s="521"/>
      <c r="E6" s="521"/>
      <c r="F6" s="521"/>
      <c r="G6" s="521"/>
      <c r="H6" s="521"/>
    </row>
    <row r="7" spans="1:8" ht="57.6" x14ac:dyDescent="0.3">
      <c r="A7" s="112" t="s">
        <v>150</v>
      </c>
      <c r="B7" s="113" t="s">
        <v>143</v>
      </c>
      <c r="C7" s="113" t="s">
        <v>144</v>
      </c>
      <c r="D7" s="113" t="s">
        <v>145</v>
      </c>
      <c r="E7" s="113" t="s">
        <v>146</v>
      </c>
      <c r="F7" s="118" t="s">
        <v>147</v>
      </c>
      <c r="G7" s="118" t="s">
        <v>148</v>
      </c>
      <c r="H7" s="118" t="s">
        <v>149</v>
      </c>
    </row>
    <row r="8" spans="1:8" x14ac:dyDescent="0.3">
      <c r="A8" s="4" t="str">
        <f>'[6]Tariff summary'!$F16</f>
        <v>Domestic Aggregated or CT with Residual</v>
      </c>
      <c r="B8" s="494">
        <f>'[6]Tariff summary'!$J16</f>
        <v>18.538</v>
      </c>
      <c r="C8" s="495">
        <f>'[6]Tariff summary'!$K16</f>
        <v>1.53</v>
      </c>
      <c r="D8" s="496">
        <f>'[6]Tariff summary'!$L16</f>
        <v>0.29399999999999998</v>
      </c>
      <c r="E8" s="498">
        <f>'[6]Tariff summary'!$M16</f>
        <v>12.01</v>
      </c>
      <c r="F8" s="497">
        <f>'[6]Tariff summary'!$N16</f>
        <v>0</v>
      </c>
      <c r="G8" s="497">
        <f>'[6]Tariff summary'!$O16</f>
        <v>0</v>
      </c>
      <c r="H8" s="497">
        <f>'[6]Tariff summary'!$P16</f>
        <v>0</v>
      </c>
    </row>
    <row r="9" spans="1:8" x14ac:dyDescent="0.3">
      <c r="A9" s="4" t="str">
        <f>'[6]Tariff summary'!$F17</f>
        <v>Domestic Aggregated (Related MPAN)</v>
      </c>
      <c r="B9" s="494">
        <f>'[6]Tariff summary'!$J17</f>
        <v>18.538</v>
      </c>
      <c r="C9" s="495">
        <f>'[6]Tariff summary'!$K17</f>
        <v>1.53</v>
      </c>
      <c r="D9" s="496">
        <f>'[6]Tariff summary'!$L17</f>
        <v>0.29399999999999998</v>
      </c>
      <c r="E9" s="497">
        <f>'[6]Tariff summary'!$M17</f>
        <v>0</v>
      </c>
      <c r="F9" s="497">
        <f>'[6]Tariff summary'!$N17</f>
        <v>0</v>
      </c>
      <c r="G9" s="497">
        <f>'[6]Tariff summary'!$O17</f>
        <v>0</v>
      </c>
      <c r="H9" s="497">
        <f>'[6]Tariff summary'!$P17</f>
        <v>0</v>
      </c>
    </row>
    <row r="10" spans="1:8" x14ac:dyDescent="0.3">
      <c r="A10" s="4" t="str">
        <f>'[6]Tariff summary'!$F18</f>
        <v>Non-Domestic Aggregated or CT No Residual</v>
      </c>
      <c r="B10" s="494">
        <f>'[6]Tariff summary'!$J18</f>
        <v>20.286000000000001</v>
      </c>
      <c r="C10" s="495">
        <f>'[6]Tariff summary'!$K18</f>
        <v>1.6739999999999999</v>
      </c>
      <c r="D10" s="496">
        <f>'[6]Tariff summary'!$L18</f>
        <v>0.32100000000000001</v>
      </c>
      <c r="E10" s="498">
        <f>'[6]Tariff summary'!$M18</f>
        <v>15.3</v>
      </c>
      <c r="F10" s="497">
        <f>'[6]Tariff summary'!$N18</f>
        <v>0</v>
      </c>
      <c r="G10" s="497">
        <f>'[6]Tariff summary'!$O18</f>
        <v>0</v>
      </c>
      <c r="H10" s="497">
        <f>'[6]Tariff summary'!$P18</f>
        <v>0</v>
      </c>
    </row>
    <row r="11" spans="1:8" x14ac:dyDescent="0.3">
      <c r="A11" s="4" t="str">
        <f>'[6]Tariff summary'!$F19</f>
        <v>Non-Domestic Aggregated or CT Band 1</v>
      </c>
      <c r="B11" s="494">
        <f>'[6]Tariff summary'!$J19</f>
        <v>20.286000000000001</v>
      </c>
      <c r="C11" s="495">
        <f>'[6]Tariff summary'!$K19</f>
        <v>1.6739999999999999</v>
      </c>
      <c r="D11" s="496">
        <f>'[6]Tariff summary'!$L19</f>
        <v>0.32100000000000001</v>
      </c>
      <c r="E11" s="498">
        <f>'[6]Tariff summary'!$M19</f>
        <v>18.14</v>
      </c>
      <c r="F11" s="497">
        <f>'[6]Tariff summary'!$N19</f>
        <v>0</v>
      </c>
      <c r="G11" s="497">
        <f>'[6]Tariff summary'!$O19</f>
        <v>0</v>
      </c>
      <c r="H11" s="497">
        <f>'[6]Tariff summary'!$P19</f>
        <v>0</v>
      </c>
    </row>
    <row r="12" spans="1:8" x14ac:dyDescent="0.3">
      <c r="A12" s="4" t="str">
        <f>'[6]Tariff summary'!$F20</f>
        <v>Non-Domestic Aggregated or CT Band 2</v>
      </c>
      <c r="B12" s="494">
        <f>'[6]Tariff summary'!$J20</f>
        <v>20.286000000000001</v>
      </c>
      <c r="C12" s="495">
        <f>'[6]Tariff summary'!$K20</f>
        <v>1.6739999999999999</v>
      </c>
      <c r="D12" s="496">
        <f>'[6]Tariff summary'!$L20</f>
        <v>0.32100000000000001</v>
      </c>
      <c r="E12" s="498">
        <f>'[6]Tariff summary'!$M20</f>
        <v>23.18</v>
      </c>
      <c r="F12" s="497">
        <f>'[6]Tariff summary'!$N20</f>
        <v>0</v>
      </c>
      <c r="G12" s="497">
        <f>'[6]Tariff summary'!$O20</f>
        <v>0</v>
      </c>
      <c r="H12" s="497">
        <f>'[6]Tariff summary'!$P20</f>
        <v>0</v>
      </c>
    </row>
    <row r="13" spans="1:8" x14ac:dyDescent="0.3">
      <c r="A13" s="4" t="str">
        <f>'[6]Tariff summary'!$F21</f>
        <v>Non-Domestic Aggregated or CT Band 3</v>
      </c>
      <c r="B13" s="494">
        <f>'[6]Tariff summary'!$J21</f>
        <v>20.286000000000001</v>
      </c>
      <c r="C13" s="495">
        <f>'[6]Tariff summary'!$K21</f>
        <v>1.6739999999999999</v>
      </c>
      <c r="D13" s="496">
        <f>'[6]Tariff summary'!$L21</f>
        <v>0.32100000000000001</v>
      </c>
      <c r="E13" s="498">
        <f>'[6]Tariff summary'!$M21</f>
        <v>31.87</v>
      </c>
      <c r="F13" s="497">
        <f>'[6]Tariff summary'!$N21</f>
        <v>0</v>
      </c>
      <c r="G13" s="497">
        <f>'[6]Tariff summary'!$O21</f>
        <v>0</v>
      </c>
      <c r="H13" s="497">
        <f>'[6]Tariff summary'!$P21</f>
        <v>0</v>
      </c>
    </row>
    <row r="14" spans="1:8" x14ac:dyDescent="0.3">
      <c r="A14" s="4" t="str">
        <f>'[6]Tariff summary'!$F22</f>
        <v>Non-Domestic Aggregated or CT Band 4</v>
      </c>
      <c r="B14" s="494">
        <f>'[6]Tariff summary'!$J22</f>
        <v>20.286000000000001</v>
      </c>
      <c r="C14" s="495">
        <f>'[6]Tariff summary'!$K22</f>
        <v>1.6739999999999999</v>
      </c>
      <c r="D14" s="496">
        <f>'[6]Tariff summary'!$L22</f>
        <v>0.32100000000000001</v>
      </c>
      <c r="E14" s="498">
        <f>'[6]Tariff summary'!$M22</f>
        <v>58.04</v>
      </c>
      <c r="F14" s="497">
        <f>'[6]Tariff summary'!$N22</f>
        <v>0</v>
      </c>
      <c r="G14" s="497">
        <f>'[6]Tariff summary'!$O22</f>
        <v>0</v>
      </c>
      <c r="H14" s="497">
        <f>'[6]Tariff summary'!$P22</f>
        <v>0</v>
      </c>
    </row>
    <row r="15" spans="1:8" x14ac:dyDescent="0.3">
      <c r="A15" s="4" t="str">
        <f>'[6]Tariff summary'!$F23</f>
        <v>Non-Domestic Aggregated (Related MPAN)</v>
      </c>
      <c r="B15" s="494">
        <f>'[6]Tariff summary'!$J23</f>
        <v>20.286000000000001</v>
      </c>
      <c r="C15" s="495">
        <f>'[6]Tariff summary'!$K23</f>
        <v>1.6739999999999999</v>
      </c>
      <c r="D15" s="496">
        <f>'[6]Tariff summary'!$L23</f>
        <v>0.32100000000000001</v>
      </c>
      <c r="E15" s="497">
        <f>'[6]Tariff summary'!$M23</f>
        <v>0</v>
      </c>
      <c r="F15" s="497">
        <f>'[6]Tariff summary'!$N23</f>
        <v>0</v>
      </c>
      <c r="G15" s="497">
        <f>'[6]Tariff summary'!$O23</f>
        <v>0</v>
      </c>
      <c r="H15" s="497">
        <f>'[6]Tariff summary'!$P23</f>
        <v>0</v>
      </c>
    </row>
    <row r="16" spans="1:8" x14ac:dyDescent="0.3">
      <c r="A16" s="4" t="str">
        <f>'[6]Tariff summary'!$F24</f>
        <v>LV Site Specific No Residual</v>
      </c>
      <c r="B16" s="494">
        <f>'[6]Tariff summary'!$J24</f>
        <v>12.885</v>
      </c>
      <c r="C16" s="495">
        <f>'[6]Tariff summary'!$K24</f>
        <v>0.98899999999999999</v>
      </c>
      <c r="D16" s="496">
        <f>'[6]Tariff summary'!$L24</f>
        <v>0.20599999999999999</v>
      </c>
      <c r="E16" s="498">
        <f>'[6]Tariff summary'!$M24</f>
        <v>17.88</v>
      </c>
      <c r="F16" s="498">
        <f>'[6]Tariff summary'!$N24</f>
        <v>10.49</v>
      </c>
      <c r="G16" s="498">
        <f>'[6]Tariff summary'!$O24</f>
        <v>10.49</v>
      </c>
      <c r="H16" s="498">
        <f>'[6]Tariff summary'!$P24</f>
        <v>0.28699999999999998</v>
      </c>
    </row>
    <row r="17" spans="1:8" x14ac:dyDescent="0.3">
      <c r="A17" s="4" t="str">
        <f>'[6]Tariff summary'!$F25</f>
        <v>LV Site Specific Band 1</v>
      </c>
      <c r="B17" s="494">
        <f>'[6]Tariff summary'!$J25</f>
        <v>12.885</v>
      </c>
      <c r="C17" s="495">
        <f>'[6]Tariff summary'!$K25</f>
        <v>0.98899999999999999</v>
      </c>
      <c r="D17" s="496">
        <f>'[6]Tariff summary'!$L25</f>
        <v>0.20599999999999999</v>
      </c>
      <c r="E17" s="498">
        <f>'[6]Tariff summary'!$M25</f>
        <v>94.61</v>
      </c>
      <c r="F17" s="498">
        <f>'[6]Tariff summary'!$N25</f>
        <v>10.49</v>
      </c>
      <c r="G17" s="498">
        <f>'[6]Tariff summary'!$O25</f>
        <v>10.49</v>
      </c>
      <c r="H17" s="498">
        <f>'[6]Tariff summary'!$P25</f>
        <v>0.28699999999999998</v>
      </c>
    </row>
    <row r="18" spans="1:8" x14ac:dyDescent="0.3">
      <c r="A18" s="4" t="s">
        <v>151</v>
      </c>
      <c r="B18" s="494">
        <f>'[6]Tariff summary'!$J26</f>
        <v>12.885</v>
      </c>
      <c r="C18" s="495">
        <f>'[6]Tariff summary'!$K26</f>
        <v>0.98899999999999999</v>
      </c>
      <c r="D18" s="496">
        <f>'[6]Tariff summary'!$L26</f>
        <v>0.20599999999999999</v>
      </c>
      <c r="E18" s="498">
        <f>'[6]Tariff summary'!$M26</f>
        <v>165.52</v>
      </c>
      <c r="F18" s="498">
        <f>'[6]Tariff summary'!$N26</f>
        <v>10.49</v>
      </c>
      <c r="G18" s="498">
        <f>'[6]Tariff summary'!$O26</f>
        <v>10.49</v>
      </c>
      <c r="H18" s="498">
        <f>'[6]Tariff summary'!$P26</f>
        <v>0.28699999999999998</v>
      </c>
    </row>
    <row r="19" spans="1:8" x14ac:dyDescent="0.3">
      <c r="A19" s="4" t="s">
        <v>152</v>
      </c>
      <c r="B19" s="494">
        <f>'[6]Tariff summary'!$J27</f>
        <v>12.885</v>
      </c>
      <c r="C19" s="495">
        <f>'[6]Tariff summary'!$K27</f>
        <v>0.98899999999999999</v>
      </c>
      <c r="D19" s="496">
        <f>'[6]Tariff summary'!$L27</f>
        <v>0.20599999999999999</v>
      </c>
      <c r="E19" s="498">
        <f>'[6]Tariff summary'!$M27</f>
        <v>268.48</v>
      </c>
      <c r="F19" s="498">
        <f>'[6]Tariff summary'!$N27</f>
        <v>10.49</v>
      </c>
      <c r="G19" s="498">
        <f>'[6]Tariff summary'!$O27</f>
        <v>10.49</v>
      </c>
      <c r="H19" s="498">
        <f>'[6]Tariff summary'!$P27</f>
        <v>0.28699999999999998</v>
      </c>
    </row>
    <row r="20" spans="1:8" x14ac:dyDescent="0.3">
      <c r="A20" s="4" t="s">
        <v>153</v>
      </c>
      <c r="B20" s="494">
        <f>'[6]Tariff summary'!$J28</f>
        <v>12.885</v>
      </c>
      <c r="C20" s="495">
        <f>'[6]Tariff summary'!$K28</f>
        <v>0.98899999999999999</v>
      </c>
      <c r="D20" s="496">
        <f>'[6]Tariff summary'!$L28</f>
        <v>0.20599999999999999</v>
      </c>
      <c r="E20" s="498">
        <f>'[6]Tariff summary'!$M28</f>
        <v>600.61</v>
      </c>
      <c r="F20" s="498">
        <f>'[6]Tariff summary'!$N28</f>
        <v>10.49</v>
      </c>
      <c r="G20" s="498">
        <f>'[6]Tariff summary'!$O28</f>
        <v>10.49</v>
      </c>
      <c r="H20" s="498">
        <f>'[6]Tariff summary'!$P28</f>
        <v>0.28699999999999998</v>
      </c>
    </row>
    <row r="21" spans="1:8" x14ac:dyDescent="0.3">
      <c r="A21" s="4" t="s">
        <v>154</v>
      </c>
      <c r="B21" s="494">
        <f>'[6]Tariff summary'!$J29</f>
        <v>8.5449999999999999</v>
      </c>
      <c r="C21" s="495">
        <f>'[6]Tariff summary'!$K29</f>
        <v>0.52600000000000002</v>
      </c>
      <c r="D21" s="496">
        <f>'[6]Tariff summary'!$L29</f>
        <v>0.14000000000000001</v>
      </c>
      <c r="E21" s="498">
        <f>'[6]Tariff summary'!$M29</f>
        <v>13.96</v>
      </c>
      <c r="F21" s="498">
        <f>'[6]Tariff summary'!$N29</f>
        <v>10.07</v>
      </c>
      <c r="G21" s="498">
        <f>'[6]Tariff summary'!$O29</f>
        <v>10.07</v>
      </c>
      <c r="H21" s="498">
        <f>'[6]Tariff summary'!$P29</f>
        <v>0.17899999999999999</v>
      </c>
    </row>
    <row r="22" spans="1:8" x14ac:dyDescent="0.3">
      <c r="A22" s="4" t="s">
        <v>155</v>
      </c>
      <c r="B22" s="494">
        <f>'[6]Tariff summary'!$J30</f>
        <v>8.5449999999999999</v>
      </c>
      <c r="C22" s="495">
        <f>'[6]Tariff summary'!$K30</f>
        <v>0.52600000000000002</v>
      </c>
      <c r="D22" s="496">
        <f>'[6]Tariff summary'!$L30</f>
        <v>0.14000000000000001</v>
      </c>
      <c r="E22" s="498">
        <f>'[6]Tariff summary'!$M30</f>
        <v>90.69</v>
      </c>
      <c r="F22" s="498">
        <f>'[6]Tariff summary'!$N30</f>
        <v>10.07</v>
      </c>
      <c r="G22" s="498">
        <f>'[6]Tariff summary'!$O30</f>
        <v>10.07</v>
      </c>
      <c r="H22" s="498">
        <f>'[6]Tariff summary'!$P30</f>
        <v>0.17899999999999999</v>
      </c>
    </row>
    <row r="23" spans="1:8" x14ac:dyDescent="0.3">
      <c r="A23" s="4" t="s">
        <v>156</v>
      </c>
      <c r="B23" s="494">
        <f>'[6]Tariff summary'!$J31</f>
        <v>8.5449999999999999</v>
      </c>
      <c r="C23" s="495">
        <f>'[6]Tariff summary'!$K31</f>
        <v>0.52600000000000002</v>
      </c>
      <c r="D23" s="496">
        <f>'[6]Tariff summary'!$L31</f>
        <v>0.14000000000000001</v>
      </c>
      <c r="E23" s="498">
        <f>'[6]Tariff summary'!$M31</f>
        <v>161.6</v>
      </c>
      <c r="F23" s="498">
        <f>'[6]Tariff summary'!$N31</f>
        <v>10.07</v>
      </c>
      <c r="G23" s="498">
        <f>'[6]Tariff summary'!$O31</f>
        <v>10.07</v>
      </c>
      <c r="H23" s="498">
        <f>'[6]Tariff summary'!$P31</f>
        <v>0.17899999999999999</v>
      </c>
    </row>
    <row r="24" spans="1:8" x14ac:dyDescent="0.3">
      <c r="A24" s="4" t="s">
        <v>157</v>
      </c>
      <c r="B24" s="494">
        <f>'[6]Tariff summary'!$J32</f>
        <v>8.5449999999999999</v>
      </c>
      <c r="C24" s="495">
        <f>'[6]Tariff summary'!$K32</f>
        <v>0.52600000000000002</v>
      </c>
      <c r="D24" s="496">
        <f>'[6]Tariff summary'!$L32</f>
        <v>0.14000000000000001</v>
      </c>
      <c r="E24" s="498">
        <f>'[6]Tariff summary'!$M32</f>
        <v>264.56</v>
      </c>
      <c r="F24" s="498">
        <f>'[6]Tariff summary'!$N32</f>
        <v>10.07</v>
      </c>
      <c r="G24" s="498">
        <f>'[6]Tariff summary'!$O32</f>
        <v>10.07</v>
      </c>
      <c r="H24" s="498">
        <f>'[6]Tariff summary'!$P32</f>
        <v>0.17899999999999999</v>
      </c>
    </row>
    <row r="25" spans="1:8" x14ac:dyDescent="0.3">
      <c r="A25" s="4" t="s">
        <v>158</v>
      </c>
      <c r="B25" s="494">
        <f>'[6]Tariff summary'!$J33</f>
        <v>8.5449999999999999</v>
      </c>
      <c r="C25" s="495">
        <f>'[6]Tariff summary'!$K33</f>
        <v>0.52600000000000002</v>
      </c>
      <c r="D25" s="496">
        <f>'[6]Tariff summary'!$L33</f>
        <v>0.14000000000000001</v>
      </c>
      <c r="E25" s="498">
        <f>'[6]Tariff summary'!$M33</f>
        <v>596.69000000000005</v>
      </c>
      <c r="F25" s="498">
        <f>'[6]Tariff summary'!$N33</f>
        <v>10.07</v>
      </c>
      <c r="G25" s="498">
        <f>'[6]Tariff summary'!$O33</f>
        <v>10.07</v>
      </c>
      <c r="H25" s="498">
        <f>'[6]Tariff summary'!$P33</f>
        <v>0.17899999999999999</v>
      </c>
    </row>
    <row r="26" spans="1:8" x14ac:dyDescent="0.3">
      <c r="A26" s="4" t="s">
        <v>159</v>
      </c>
      <c r="B26" s="494">
        <f>'[6]Tariff summary'!$J34</f>
        <v>5.9530000000000003</v>
      </c>
      <c r="C26" s="495">
        <f>'[6]Tariff summary'!$K34</f>
        <v>0.32700000000000001</v>
      </c>
      <c r="D26" s="496">
        <f>'[6]Tariff summary'!$L34</f>
        <v>9.6000000000000002E-2</v>
      </c>
      <c r="E26" s="498">
        <f>'[6]Tariff summary'!$M34</f>
        <v>128.84</v>
      </c>
      <c r="F26" s="498">
        <f>'[6]Tariff summary'!$N34</f>
        <v>10.43</v>
      </c>
      <c r="G26" s="498">
        <f>'[6]Tariff summary'!$O34</f>
        <v>10.43</v>
      </c>
      <c r="H26" s="498">
        <f>'[6]Tariff summary'!$P34</f>
        <v>0.115</v>
      </c>
    </row>
    <row r="27" spans="1:8" x14ac:dyDescent="0.3">
      <c r="A27" s="4" t="s">
        <v>160</v>
      </c>
      <c r="B27" s="494">
        <f>'[6]Tariff summary'!$J35</f>
        <v>5.9530000000000003</v>
      </c>
      <c r="C27" s="495">
        <f>'[6]Tariff summary'!$K35</f>
        <v>0.32700000000000001</v>
      </c>
      <c r="D27" s="496">
        <f>'[6]Tariff summary'!$L35</f>
        <v>9.6000000000000002E-2</v>
      </c>
      <c r="E27" s="498">
        <f>'[6]Tariff summary'!$M35</f>
        <v>692.19</v>
      </c>
      <c r="F27" s="498">
        <f>'[6]Tariff summary'!$N35</f>
        <v>10.43</v>
      </c>
      <c r="G27" s="498">
        <f>'[6]Tariff summary'!$O35</f>
        <v>10.43</v>
      </c>
      <c r="H27" s="498">
        <f>'[6]Tariff summary'!$P35</f>
        <v>0.115</v>
      </c>
    </row>
    <row r="28" spans="1:8" x14ac:dyDescent="0.3">
      <c r="A28" s="4" t="s">
        <v>161</v>
      </c>
      <c r="B28" s="494">
        <f>'[6]Tariff summary'!$J36</f>
        <v>5.9530000000000003</v>
      </c>
      <c r="C28" s="495">
        <f>'[6]Tariff summary'!$K36</f>
        <v>0.32700000000000001</v>
      </c>
      <c r="D28" s="496">
        <f>'[6]Tariff summary'!$L36</f>
        <v>9.6000000000000002E-2</v>
      </c>
      <c r="E28" s="498">
        <f>'[6]Tariff summary'!$M36</f>
        <v>1590.95</v>
      </c>
      <c r="F28" s="498">
        <f>'[6]Tariff summary'!$N36</f>
        <v>10.43</v>
      </c>
      <c r="G28" s="498">
        <f>'[6]Tariff summary'!$O36</f>
        <v>10.43</v>
      </c>
      <c r="H28" s="498">
        <f>'[6]Tariff summary'!$P36</f>
        <v>0.115</v>
      </c>
    </row>
    <row r="29" spans="1:8" x14ac:dyDescent="0.3">
      <c r="A29" s="4" t="s">
        <v>162</v>
      </c>
      <c r="B29" s="494">
        <f>'[6]Tariff summary'!$J37</f>
        <v>5.9530000000000003</v>
      </c>
      <c r="C29" s="495">
        <f>'[6]Tariff summary'!$K37</f>
        <v>0.32700000000000001</v>
      </c>
      <c r="D29" s="496">
        <f>'[6]Tariff summary'!$L37</f>
        <v>9.6000000000000002E-2</v>
      </c>
      <c r="E29" s="498">
        <f>'[6]Tariff summary'!$M37</f>
        <v>2871.8</v>
      </c>
      <c r="F29" s="498">
        <f>'[6]Tariff summary'!$N37</f>
        <v>10.43</v>
      </c>
      <c r="G29" s="498">
        <f>'[6]Tariff summary'!$O37</f>
        <v>10.43</v>
      </c>
      <c r="H29" s="498">
        <f>'[6]Tariff summary'!$P37</f>
        <v>0.115</v>
      </c>
    </row>
    <row r="30" spans="1:8" x14ac:dyDescent="0.3">
      <c r="A30" s="4" t="s">
        <v>163</v>
      </c>
      <c r="B30" s="494">
        <f>'[6]Tariff summary'!$J38</f>
        <v>5.9530000000000003</v>
      </c>
      <c r="C30" s="495">
        <f>'[6]Tariff summary'!$K38</f>
        <v>0.32700000000000001</v>
      </c>
      <c r="D30" s="496">
        <f>'[6]Tariff summary'!$L38</f>
        <v>9.6000000000000002E-2</v>
      </c>
      <c r="E30" s="498">
        <f>'[6]Tariff summary'!$M38</f>
        <v>6566.48</v>
      </c>
      <c r="F30" s="498">
        <f>'[6]Tariff summary'!$N38</f>
        <v>10.43</v>
      </c>
      <c r="G30" s="498">
        <f>'[6]Tariff summary'!$O38</f>
        <v>10.43</v>
      </c>
      <c r="H30" s="498">
        <f>'[6]Tariff summary'!$P38</f>
        <v>0.115</v>
      </c>
    </row>
    <row r="31" spans="1:8" x14ac:dyDescent="0.3">
      <c r="A31" s="4" t="s">
        <v>164</v>
      </c>
      <c r="B31" s="499">
        <f>'[6]Tariff summary'!$J39</f>
        <v>65.378</v>
      </c>
      <c r="C31" s="500">
        <f>'[6]Tariff summary'!$K39</f>
        <v>3.2240000000000002</v>
      </c>
      <c r="D31" s="496">
        <f>'[6]Tariff summary'!$L39</f>
        <v>1.8819999999999999</v>
      </c>
      <c r="E31" s="497">
        <f>'[6]Tariff summary'!$M39</f>
        <v>0</v>
      </c>
      <c r="F31" s="497">
        <f>'[6]Tariff summary'!$N39</f>
        <v>0</v>
      </c>
      <c r="G31" s="497">
        <f>'[6]Tariff summary'!$O39</f>
        <v>0</v>
      </c>
      <c r="H31" s="497">
        <f>'[6]Tariff summary'!$P39</f>
        <v>0</v>
      </c>
    </row>
    <row r="32" spans="1:8" x14ac:dyDescent="0.3">
      <c r="A32" s="4" t="s">
        <v>165</v>
      </c>
      <c r="B32" s="494">
        <f>'[6]Tariff summary'!$J40</f>
        <v>-12.885999999999999</v>
      </c>
      <c r="C32" s="495">
        <f>'[6]Tariff summary'!$K40</f>
        <v>-1.0629999999999999</v>
      </c>
      <c r="D32" s="496">
        <f>'[6]Tariff summary'!$L40</f>
        <v>-0.20399999999999999</v>
      </c>
      <c r="E32" s="498">
        <f>'[6]Tariff summary'!$M40</f>
        <v>0</v>
      </c>
      <c r="F32" s="497">
        <f>'[6]Tariff summary'!$N40</f>
        <v>0</v>
      </c>
      <c r="G32" s="497">
        <f>'[6]Tariff summary'!$O40</f>
        <v>0</v>
      </c>
      <c r="H32" s="497">
        <f>'[6]Tariff summary'!$P40</f>
        <v>0</v>
      </c>
    </row>
    <row r="33" spans="1:8" x14ac:dyDescent="0.3">
      <c r="A33" s="4" t="s">
        <v>166</v>
      </c>
      <c r="B33" s="494">
        <f>'[6]Tariff summary'!$J41</f>
        <v>-11.227</v>
      </c>
      <c r="C33" s="495">
        <f>'[6]Tariff summary'!$K41</f>
        <v>-0.88800000000000001</v>
      </c>
      <c r="D33" s="496">
        <f>'[6]Tariff summary'!$L41</f>
        <v>-0.17899999999999999</v>
      </c>
      <c r="E33" s="498">
        <f>'[6]Tariff summary'!$M41</f>
        <v>0</v>
      </c>
      <c r="F33" s="497">
        <f>'[6]Tariff summary'!$N41</f>
        <v>0</v>
      </c>
      <c r="G33" s="497">
        <f>'[6]Tariff summary'!$O41</f>
        <v>0</v>
      </c>
      <c r="H33" s="497">
        <f>'[6]Tariff summary'!$P41</f>
        <v>0</v>
      </c>
    </row>
    <row r="34" spans="1:8" x14ac:dyDescent="0.3">
      <c r="A34" s="4" t="s">
        <v>167</v>
      </c>
      <c r="B34" s="494">
        <f>'[6]Tariff summary'!$J42</f>
        <v>-12.885999999999999</v>
      </c>
      <c r="C34" s="495">
        <f>'[6]Tariff summary'!$K42</f>
        <v>-1.0629999999999999</v>
      </c>
      <c r="D34" s="496">
        <f>'[6]Tariff summary'!$L42</f>
        <v>-0.20399999999999999</v>
      </c>
      <c r="E34" s="498">
        <f>'[6]Tariff summary'!$M42</f>
        <v>0</v>
      </c>
      <c r="F34" s="497">
        <f>'[6]Tariff summary'!$N42</f>
        <v>0</v>
      </c>
      <c r="G34" s="497">
        <f>'[6]Tariff summary'!$O42</f>
        <v>0</v>
      </c>
      <c r="H34" s="498">
        <f>'[6]Tariff summary'!$P42</f>
        <v>0.35499999999999998</v>
      </c>
    </row>
    <row r="35" spans="1:8" x14ac:dyDescent="0.3">
      <c r="A35" s="4" t="s">
        <v>168</v>
      </c>
      <c r="B35" s="494">
        <f>'[6]Tariff summary'!$J43</f>
        <v>-12.885999999999999</v>
      </c>
      <c r="C35" s="495">
        <f>'[6]Tariff summary'!$K43</f>
        <v>-1.0629999999999999</v>
      </c>
      <c r="D35" s="496">
        <f>'[6]Tariff summary'!$L43</f>
        <v>-0.20399999999999999</v>
      </c>
      <c r="E35" s="498">
        <f>'[6]Tariff summary'!$M43</f>
        <v>0</v>
      </c>
      <c r="F35" s="497">
        <f>'[6]Tariff summary'!$N43</f>
        <v>0</v>
      </c>
      <c r="G35" s="497">
        <f>'[6]Tariff summary'!$O43</f>
        <v>0</v>
      </c>
      <c r="H35" s="497">
        <f>'[6]Tariff summary'!$P43</f>
        <v>0</v>
      </c>
    </row>
    <row r="36" spans="1:8" x14ac:dyDescent="0.3">
      <c r="A36" s="4" t="s">
        <v>169</v>
      </c>
      <c r="B36" s="494">
        <f>'[6]Tariff summary'!$J44</f>
        <v>-11.227</v>
      </c>
      <c r="C36" s="495">
        <f>'[6]Tariff summary'!$K44</f>
        <v>-0.88800000000000001</v>
      </c>
      <c r="D36" s="496">
        <f>'[6]Tariff summary'!$L44</f>
        <v>-0.17899999999999999</v>
      </c>
      <c r="E36" s="498">
        <f>'[6]Tariff summary'!$M44</f>
        <v>0</v>
      </c>
      <c r="F36" s="497">
        <f>'[6]Tariff summary'!$N44</f>
        <v>0</v>
      </c>
      <c r="G36" s="497">
        <f>'[6]Tariff summary'!$O44</f>
        <v>0</v>
      </c>
      <c r="H36" s="498">
        <f>'[6]Tariff summary'!$P44</f>
        <v>0.26600000000000001</v>
      </c>
    </row>
    <row r="37" spans="1:8" x14ac:dyDescent="0.3">
      <c r="A37" s="4" t="s">
        <v>170</v>
      </c>
      <c r="B37" s="494">
        <f>'[6]Tariff summary'!$J45</f>
        <v>-11.227</v>
      </c>
      <c r="C37" s="495">
        <f>'[6]Tariff summary'!$K45</f>
        <v>-0.88800000000000001</v>
      </c>
      <c r="D37" s="496">
        <f>'[6]Tariff summary'!$L45</f>
        <v>-0.17899999999999999</v>
      </c>
      <c r="E37" s="498">
        <f>'[6]Tariff summary'!$M45</f>
        <v>0</v>
      </c>
      <c r="F37" s="497">
        <f>'[6]Tariff summary'!$N45</f>
        <v>0</v>
      </c>
      <c r="G37" s="497">
        <f>'[6]Tariff summary'!$O45</f>
        <v>0</v>
      </c>
      <c r="H37" s="497">
        <f>'[6]Tariff summary'!$P45</f>
        <v>0</v>
      </c>
    </row>
    <row r="38" spans="1:8" x14ac:dyDescent="0.3">
      <c r="A38" s="4" t="s">
        <v>171</v>
      </c>
      <c r="B38" s="494">
        <f>'[6]Tariff summary'!$J46</f>
        <v>-6.8109999999999999</v>
      </c>
      <c r="C38" s="495">
        <f>'[6]Tariff summary'!$K46</f>
        <v>-0.41899999999999998</v>
      </c>
      <c r="D38" s="496">
        <f>'[6]Tariff summary'!$L46</f>
        <v>-0.112</v>
      </c>
      <c r="E38" s="498">
        <f>'[6]Tariff summary'!$M46</f>
        <v>80.63</v>
      </c>
      <c r="F38" s="497">
        <f>'[6]Tariff summary'!$N46</f>
        <v>0</v>
      </c>
      <c r="G38" s="497">
        <f>'[6]Tariff summary'!$O46</f>
        <v>0</v>
      </c>
      <c r="H38" s="498">
        <f>'[6]Tariff summary'!$P46</f>
        <v>0.22700000000000001</v>
      </c>
    </row>
    <row r="39" spans="1:8" x14ac:dyDescent="0.3">
      <c r="A39" s="4" t="s">
        <v>172</v>
      </c>
      <c r="B39" s="494">
        <f>'[6]Tariff summary'!$J47</f>
        <v>-6.8109999999999999</v>
      </c>
      <c r="C39" s="495">
        <f>'[6]Tariff summary'!$K47</f>
        <v>-0.41899999999999998</v>
      </c>
      <c r="D39" s="496">
        <f>'[6]Tariff summary'!$L47</f>
        <v>-0.112</v>
      </c>
      <c r="E39" s="498">
        <f>'[6]Tariff summary'!$M47</f>
        <v>80.63</v>
      </c>
      <c r="F39" s="497">
        <f>'[6]Tariff summary'!$N47</f>
        <v>0</v>
      </c>
      <c r="G39" s="497">
        <f>'[6]Tariff summary'!$O47</f>
        <v>0</v>
      </c>
      <c r="H39" s="497">
        <f>'[6]Tariff summary'!$P47</f>
        <v>0</v>
      </c>
    </row>
  </sheetData>
  <mergeCells count="1">
    <mergeCell ref="A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Table 1 - Detailed</vt:lpstr>
      <vt:lpstr>Table 1 - CDCM Input</vt:lpstr>
      <vt:lpstr>Table 1 - Delta From Previous</vt:lpstr>
      <vt:lpstr>Table 2 - Sensitivities</vt:lpstr>
      <vt:lpstr>Table 3 - Illustrative Prices</vt:lpstr>
    </vt:vector>
  </TitlesOfParts>
  <Company>Western Power Distribution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Wornell, Dave I.</dc:creator>
  <cp:lastModifiedBy>Nock, Rebecca</cp:lastModifiedBy>
  <cp:lastPrinted>2023-03-06T12:02:14Z</cp:lastPrinted>
  <dcterms:created xsi:type="dcterms:W3CDTF">2023-03-03T13:06:52Z</dcterms:created>
  <dcterms:modified xsi:type="dcterms:W3CDTF">2025-02-04T14:23:29Z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